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lejo\Documents\CEDOP\REPOSITORIO INST\MATRIZ PLANIF-PRESUPUESTO\"/>
    </mc:Choice>
  </mc:AlternateContent>
  <bookViews>
    <workbookView showVerticalScroll="0" xWindow="0" yWindow="0" windowWidth="19200" windowHeight="7050"/>
  </bookViews>
  <sheets>
    <sheet name="MATRIZ FINAL" sheetId="7" r:id="rId1"/>
  </sheets>
  <definedNames>
    <definedName name="_xlnm.Print_Area" localSheetId="0">'MATRIZ FINAL'!$A$1:$AD$59</definedName>
    <definedName name="_xlnm.Print_Titles" localSheetId="0">'MATRIZ FINAL'!$1:$6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9" i="7" l="1"/>
  <c r="P49" i="7"/>
  <c r="Q35" i="7"/>
  <c r="P35" i="7"/>
  <c r="Q27" i="7"/>
  <c r="P27" i="7"/>
  <c r="Q55" i="7"/>
  <c r="P55" i="7"/>
  <c r="Q54" i="7"/>
  <c r="P54" i="7"/>
  <c r="Q53" i="7"/>
  <c r="P53" i="7"/>
  <c r="Q52" i="7"/>
  <c r="P52" i="7"/>
  <c r="Q51" i="7"/>
  <c r="P51" i="7"/>
  <c r="Q50" i="7"/>
  <c r="P50" i="7"/>
  <c r="Q41" i="7" l="1"/>
  <c r="P41" i="7"/>
  <c r="Q40" i="7"/>
  <c r="P40" i="7"/>
  <c r="Q39" i="7"/>
  <c r="P39" i="7"/>
  <c r="Q38" i="7"/>
  <c r="P38" i="7"/>
  <c r="Q37" i="7"/>
  <c r="P37" i="7"/>
  <c r="Q36" i="7"/>
  <c r="R36" i="7"/>
  <c r="P36" i="7"/>
  <c r="Q33" i="7"/>
  <c r="P33" i="7"/>
  <c r="Q32" i="7"/>
  <c r="P32" i="7"/>
  <c r="P31" i="7"/>
  <c r="Q31" i="7"/>
  <c r="Q30" i="7"/>
  <c r="P30" i="7"/>
  <c r="Q29" i="7"/>
  <c r="P29" i="7"/>
  <c r="Q28" i="7"/>
  <c r="P28" i="7"/>
  <c r="Z51" i="7" l="1"/>
  <c r="Z52" i="7"/>
  <c r="Z53" i="7"/>
  <c r="Z54" i="7"/>
  <c r="Z55" i="7"/>
  <c r="Z50" i="7"/>
  <c r="Z44" i="7"/>
  <c r="Z45" i="7"/>
  <c r="Z46" i="7"/>
  <c r="Z47" i="7"/>
  <c r="Z48" i="7"/>
  <c r="Z43" i="7"/>
  <c r="Z37" i="7"/>
  <c r="Z38" i="7"/>
  <c r="Z39" i="7"/>
  <c r="Z40" i="7"/>
  <c r="Z41" i="7"/>
  <c r="Z36" i="7"/>
  <c r="Z29" i="7"/>
  <c r="Z30" i="7"/>
  <c r="Z31" i="7"/>
  <c r="Z32" i="7"/>
  <c r="Z33" i="7"/>
  <c r="Z28" i="7"/>
  <c r="Z22" i="7"/>
  <c r="Z23" i="7"/>
  <c r="Z24" i="7"/>
  <c r="Z25" i="7"/>
  <c r="Z26" i="7"/>
  <c r="Z21" i="7"/>
  <c r="Z15" i="7"/>
  <c r="Z16" i="7"/>
  <c r="Z17" i="7"/>
  <c r="Z18" i="7"/>
  <c r="Z19" i="7"/>
  <c r="Z14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13" i="7"/>
  <c r="Z34" i="7" l="1"/>
</calcChain>
</file>

<file path=xl/sharedStrings.xml><?xml version="1.0" encoding="utf-8"?>
<sst xmlns="http://schemas.openxmlformats.org/spreadsheetml/2006/main" count="535" uniqueCount="140">
  <si>
    <t>MATRIZ DE ARTICULACION PLAN PRESUPUESTO 2020</t>
  </si>
  <si>
    <t>PLAN NACIONAL DE DESARROLLO E INVERSION PUBLICA 2019-2022 (PNDIP)</t>
  </si>
  <si>
    <t>PROGRAMACIÓN ESTRATÉGICA PRESUPUESTARIA</t>
  </si>
  <si>
    <t>ODS VINCULADO</t>
  </si>
  <si>
    <t xml:space="preserve">AREA ESTRATEGICA </t>
  </si>
  <si>
    <t xml:space="preserve">OBJETIVO DEL AREA </t>
  </si>
  <si>
    <t xml:space="preserve">
INTERVENCION ESTRATEGICA</t>
  </si>
  <si>
    <t>OBJETIVO INTERVENCION ESTRATEGICA</t>
  </si>
  <si>
    <t>INDICADOR DE LA INTERVENCION ESTRATEGICA</t>
  </si>
  <si>
    <t>LINEA BASE DEL INDICADOR (Regional cuando proceda)</t>
  </si>
  <si>
    <t>META DEL PERIODO (regional cuando proceda)</t>
  </si>
  <si>
    <t>COBERTURA GEOGRAFICA POR REGION</t>
  </si>
  <si>
    <t>OBJETIVO ESTRATÉGICO INSTITUCIONAL (PEI)</t>
  </si>
  <si>
    <t>CODIGO Y NOMBRE DEL  PROGRAMA O SUBPROGRAMA PRESUPUESTARIO</t>
  </si>
  <si>
    <t>PRODUCTO FINAL (BIENES/
SERVICIOS)</t>
  </si>
  <si>
    <t>UNIDAD DE MEDIDA DEL PRODUCTO</t>
  </si>
  <si>
    <t>POBLACIÓN META</t>
  </si>
  <si>
    <t xml:space="preserve">INDICADORES DE PRODUCTO FINAL  </t>
  </si>
  <si>
    <t>LÍNEA BASE</t>
  </si>
  <si>
    <t xml:space="preserve">METAS DEL INDICADOR 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</si>
  <si>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</si>
  <si>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</si>
  <si>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</si>
  <si>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</si>
  <si>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</si>
  <si>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</si>
  <si>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</si>
  <si>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</si>
  <si>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DESEMPEÑO PROYECTADO</t>
  </si>
  <si>
    <t>FF</t>
  </si>
  <si>
    <t>ANUAL</t>
  </si>
  <si>
    <t>INTERSEX</t>
  </si>
  <si>
    <t xml:space="preserve">Nombre del Jerarca de la Institución: </t>
  </si>
  <si>
    <t>Juan Luis Bermudez Madrid</t>
  </si>
  <si>
    <t xml:space="preserve">Nombre de la Institución: </t>
  </si>
  <si>
    <t>Instituto Mixto de Ayuda Social</t>
  </si>
  <si>
    <t>Trabajo, Seguridad Humana e Inclusión Social</t>
  </si>
  <si>
    <t>Steven Núñez Rímola</t>
  </si>
  <si>
    <t>Satisfacer las necesidades básicas  de los hogares en situación de pobreza mediante el acceso a programas sociales articulados, con énfasis en jefatura femenina, en condición de violencia doméstica , personas con discapacidad , pueblos indígenas y edad</t>
  </si>
  <si>
    <t>Articulación de programas sociales selectivos para la atención básica e integral de los hogares en situación de pobreza   en el marco del ODS 1</t>
  </si>
  <si>
    <t>Idear y desarrollar políticas y estrategias que permitan condiciones que
favorezcan el desarrollo humano y la construcción y preservación de entornos
protectores</t>
  </si>
  <si>
    <t>Seguridad Humana</t>
  </si>
  <si>
    <t>Programa Avancemos y otros programas (becas estudiantiles) para la permanencia de las personas estudiantes en el sistema educativo formal, en el marco del ODS 4</t>
  </si>
  <si>
    <t>Contribuir a la permanencia en el sistema educativo formal de las personas estudiantes de primaria  y secundaria en situación de pobreza mediante transferencias monetarias condicionadas, considerando situación de discapacidad y pueblos indígenas</t>
  </si>
  <si>
    <t>Porcentaje de personas estudiantes de secundaria beneficiadas de Avancemos que permanecen en el sistema educativo según el registro de SINIRUBE</t>
  </si>
  <si>
    <t>Programa Nacional de Red de Cuido en el marco de los ODS 1  y 2</t>
  </si>
  <si>
    <t>1 Y 2</t>
  </si>
  <si>
    <t>Contribuir a la protección y cuidado de niños y niñas en situación de pobreza mediante el acceso a servicios de atención y desarrollo infantil, según jefatura de hogar femenina y considerando situación de discapacidad y pueblos indígenas</t>
  </si>
  <si>
    <t>ND</t>
  </si>
  <si>
    <t>NACIONAL</t>
  </si>
  <si>
    <t>Articulación de programas interinstitucionales para la atención de las personas adultas mayores en el marco de los ODS 1 y 2</t>
  </si>
  <si>
    <t>Satisfacer las necesidades fundamentales  de las personas adultas mayores (PAM) en situación de pobreza mediante la ejecución de programas sociales interinstitucionales.</t>
  </si>
  <si>
    <t>Número de personas adultas mayores (PAM) atendidas según el registro de SINIRUBE a nivel nacional y regional REGIONALES</t>
  </si>
  <si>
    <t>Programa de Economía Social Solidaria (ESS) en el marco de los ODS 1, 2 y 8</t>
  </si>
  <si>
    <t>1, 2 y 8</t>
  </si>
  <si>
    <t>Fortalecer las organizaciones de la Economía Social Solidaria mediante capacitación, asistencia técnica y financiamiento para mejorar su productividad según el modelo asociativo inclusivo con enfoque de derechos humanos</t>
  </si>
  <si>
    <t>Número de organizaciones de la ESS con proyectos productivos que reciben capacitación, asistencia técnica o financiamiento</t>
  </si>
  <si>
    <t>Programa de infraestructura social en el marco de los ODS 3 y 9</t>
  </si>
  <si>
    <t>3 y 9</t>
  </si>
  <si>
    <t xml:space="preserve">Mejorar la infraestructura social para el desarrollo de oportunidades para las familias y personas, con enfoque inclusivo e intercultural. </t>
  </si>
  <si>
    <t>Número de proyectos de infraestructura social inclusivos e interculturales ejecutados.</t>
  </si>
  <si>
    <t>Región Central</t>
  </si>
  <si>
    <t>Región Chorotega</t>
  </si>
  <si>
    <t>Pacífico Central</t>
  </si>
  <si>
    <t>Huétar Caribe</t>
  </si>
  <si>
    <t>Región Brunca</t>
  </si>
  <si>
    <t>Huétar Norte</t>
  </si>
  <si>
    <t>OBJETIVO NACIONAL:  “Generar un crecimiento económico inclusivo en el ámbito nacional y regional, en armonía con el ambiente, generando empleos de calidad, y reduciendo la pobreza y la desigualdad”.</t>
  </si>
  <si>
    <t xml:space="preserve">Número de hogares en situación de pobreza atendidos, según el registro nacional del   SINIRUBE a nivel nacional y regional </t>
  </si>
  <si>
    <t xml:space="preserve">Número de hogares en pobreza que reciben una atención integral incluyendo aquellos que forman parte de la Estrategia Nacional para la reducción de pobreza “Puente al Desarrollo” a nivel nacional y regional </t>
  </si>
  <si>
    <t>Número de personas estudiantes de secundaria que reciben beneficio de Avancemos según el registro de SINIRUBE a nivel nacional y regional</t>
  </si>
  <si>
    <t>Número de niños, niñas y adolescentes atendidos en alternativas de cuido y otras modalidades de atención que no han sido incorporadas a los registros de la secretaria técnica de REDCUDI a nivel nacional y regional.</t>
  </si>
  <si>
    <t>Número de niños y niñas beneficiarios del subsidio de cuido  y desarrollo infantil del IMAS según SINIRUBE a nivel nacional y regional.</t>
  </si>
  <si>
    <t xml:space="preserve">2019-2022: 50.000
2019: 50.000
2020: 50.000
2021: 50.000
2022: 50.000
</t>
  </si>
  <si>
    <t xml:space="preserve">2019-2022: 34244
2019: 25744
2020: 28744 
2021: 31744
2022: 34244 </t>
  </si>
  <si>
    <t>2019-2022: 14881
2019: 0
2020: 4000
2021: 9440
2022: 14881</t>
  </si>
  <si>
    <t>2019-2022: 10500
2019: 10500
2020: 10500
2021: 10500
2022: 10500</t>
  </si>
  <si>
    <t>2019-2022: 16
2019: 4
2020: 4
2021: 4
2022: 4</t>
  </si>
  <si>
    <t>2019-2022: 24
2019: 6
2020: 6
2021: 6
2022: 6</t>
  </si>
  <si>
    <t>2019-2022: 66832
2019: 14516
2020: 18900
2021: 14516
2022: 18900</t>
  </si>
  <si>
    <t>2019-2022: 17126
2019: 3720
2020: 4843
2021: 3720
2022: 4843</t>
  </si>
  <si>
    <t>2019-2022: 7966
2019: 1730
2020: 2253
2021: 1730
2022: 2253</t>
  </si>
  <si>
    <t>2019-2022: 12104
2019: 2629
2020: 3423
2021: 2629
2022: 3423</t>
  </si>
  <si>
    <t>2019-2022: 8044
2019: 1747
2020: 2275
2021: 1747
2022: 2275</t>
  </si>
  <si>
    <t>2019-2022: 9926
2019: 2156
2020: 2807
2021: 2156
2022: 2807</t>
  </si>
  <si>
    <t>2019-2022: 11666
2019: 2534
2020: 3299
2021: 2534
2022: 3299</t>
  </si>
  <si>
    <t xml:space="preserve">2019-2022: 184.000
2019: 184.000 
2020: 184.000
2021: 184.000
2022: 184.000
</t>
  </si>
  <si>
    <t>2019-2022: 82065
2019: 82065
2020: 82065
2021: 82065
2022: 82065</t>
  </si>
  <si>
    <t>2019-2022: 19823
2019: 19823
2020: 19823
2021: 19823
2022: 19823</t>
  </si>
  <si>
    <t>2019-2022: 14857
2019: 14857
2020: 14857
2021: 14857
2022: 14857</t>
  </si>
  <si>
    <t>2019-2022: 19255
2019: 19255
2020: 19255
2021: 19255
2022: 19255</t>
  </si>
  <si>
    <t>2019-2022: 21384
2019: 21384
2020: 21384
2021: 21384
2022: 21384</t>
  </si>
  <si>
    <t>2019-2022: 26616
2019: 26616
2020: 26616
2021: 26616
2022: 26616</t>
  </si>
  <si>
    <t>2019-2022: 80%
2019: 77%
2020: 78%
2021: 79%
2022: 80%</t>
  </si>
  <si>
    <t xml:space="preserve">2019-2022: 21498
2019: 16143
2020: 18033
2021: 19923
2022: 21498 </t>
  </si>
  <si>
    <t>2019-2022: 2039
2019:  1529
2020:  1709
2021:  1889
2022:  2039</t>
  </si>
  <si>
    <t xml:space="preserve">2019-2022: 2683
2019:  2003
2020:  2243
2021:  2483
2022:  2683
</t>
  </si>
  <si>
    <t>2019-2022: 1434
2019:  1094
2020:  1214
2021:  1334
2022:  1434</t>
  </si>
  <si>
    <t>2019-2022: 2512
2019:  1917
2020:  2127
2021:  2337
2022:  2512</t>
  </si>
  <si>
    <t>2019-2022: 7440
2019:  0
2020:  2000
2021:  4720
2022:  7441</t>
  </si>
  <si>
    <t>2019-2022: 1488
2019:  0
2020:  400
2021:  944
2022:  1488</t>
  </si>
  <si>
    <t>2019-2022:  3603
2019: 3603
2020: 3603
2021: 3603
2022: 3603</t>
  </si>
  <si>
    <t>2019-2022: 1292
2019: 1292 
2020: 1292
2021: 1292
2022: 1292</t>
  </si>
  <si>
    <t>2019-2022:  1560
2019: 1560
2020: 1560
2021: 1560
2022: 1560</t>
  </si>
  <si>
    <t xml:space="preserve">2019-2022:  1178
2019:  1178
2020:  1178
2021:  1178
2022:  1178
</t>
  </si>
  <si>
    <t>2019-2022:  1116
2019:  1116
2020:  1116
2021:  1116
2022:  1116</t>
  </si>
  <si>
    <t>2019-2022:  1751
2019:  1751
2020:  1751
2021:  1751
2022:  1751</t>
  </si>
  <si>
    <t>2019-2022: 17159
2019: 17159
2020: 17159
2021: 17159
2022: 17159</t>
  </si>
  <si>
    <t>2019-2022: 6153
2019: 6153
2020: 6153
2021: 6153
2022: 6153</t>
  </si>
  <si>
    <t>2019-2022: 5609
2019: 5609
2020: 5609
2021: 5609
2022: 5609</t>
  </si>
  <si>
    <t>2019-2022: 7428
2019: 7428
2020: 7428
2021: 7428
2022: 7428</t>
  </si>
  <si>
    <t>2019-2022: 5315
2019: 5315
2020: 5315
2021: 5315
2022: 5315</t>
  </si>
  <si>
    <t>2019-2022: 8336
2019: 8336
2020: 8336
2021: 8336
2022: 8336</t>
  </si>
  <si>
    <t>2019-2022: 4078
2019:  3058
2020:  3418
2021:  3778
2022:  4078</t>
  </si>
  <si>
    <t>Protección y Promoción Social 12000000</t>
  </si>
  <si>
    <t xml:space="preserve">Transferencia monetaria </t>
  </si>
  <si>
    <t>ESTIMACIÓN ANUAL DE RECURSOS PRESUPUESTARIOS   (en millones de colones)</t>
  </si>
  <si>
    <t>Transferencia monetarias ototgadas a los hogares en situación de pobreza para satisfacer necesidades basicas</t>
  </si>
  <si>
    <t>Cantidad de hogares que reciben  transferencias monetarias, para la satisfacció de necesidades basicas</t>
  </si>
  <si>
    <t xml:space="preserve">Cantidad de niños y niñas que reciben tranasferencia monetaria </t>
  </si>
  <si>
    <t>Cantidad de personas adultas mayores que reciben transferencia monetaria</t>
  </si>
  <si>
    <t>Cantidadad de organizaciones con transferencia Monetaria</t>
  </si>
  <si>
    <t>Hogares</t>
  </si>
  <si>
    <t>Personas estudiantes</t>
  </si>
  <si>
    <t>Niños y Niñas</t>
  </si>
  <si>
    <t>Organizaciones</t>
  </si>
  <si>
    <t xml:space="preserve">Ministro(a) Rector(a):  </t>
  </si>
  <si>
    <t>Sector:</t>
  </si>
  <si>
    <t>FODESAF/IMAS/GOBIERNO CENTRAL</t>
  </si>
  <si>
    <t>GOBIERNO CENTRAL, IMAS</t>
  </si>
  <si>
    <t>EL PNDIP tiene una proyección presupuestaria que comprende todo el periodo, por lo que se dividio el presupuesto en los cuatro años para sacar un estimado anul para el 2020</t>
  </si>
  <si>
    <t>EL PNDIP tiene una proyección presupuestaria que comprende todo el periodo, por lo que se dividio el presupuesto en los cuatro años para sacar un estimado anul para el 2022</t>
  </si>
  <si>
    <t>EL PNDIP tiene una proyección presupuestaria que comprende todo el periodo, por lo que se dividio el presupuesto en los cuatro años para sacar un estimado anul para el 2025</t>
  </si>
  <si>
    <t>EL PNDIP tiene una proyección presupuestaria que comprende todo el periodo, por lo que se dividio el presupuesto en los cuatro años para sacar un estimado anul para el 2028</t>
  </si>
  <si>
    <t>Fodesaf/IMAS/</t>
  </si>
  <si>
    <t>FODESAF, IMAS</t>
  </si>
  <si>
    <t>IMAS</t>
  </si>
  <si>
    <t>EL PNDIP tiene una proyección presupuestaria que comprende todo el periodo, por lo que se dividio el presupuesto en los cuatro años para sacar un estimado anual para el 2020</t>
  </si>
  <si>
    <t>Personas adultas mayores</t>
  </si>
  <si>
    <t>FODESAF/ 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</si>
</sst>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0" fillId="0" borderId="0" xfId="0" applyFont="1"/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9" borderId="16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2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7" fillId="9" borderId="13" xfId="0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2" xfId="0" applyFont="1" applyFill="1" applyBorder="1" applyAlignment="1" applyProtection="1">
      <alignment horizontal="center" vertical="center" wrapText="1"/>
      <protection locked="0"/>
    </xf>
    <xf numFmtId="10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tabSelected="1" zoomScale="80" zoomScaleNormal="80" zoomScalePageLayoutView="40" workbookViewId="0">
      <pane xSplit="7" ySplit="12" topLeftCell="Q13" activePane="bottomRight" state="frozen"/>
      <selection pane="topRight" activeCell="H1" sqref="H1"/>
      <selection pane="bottomLeft" activeCell="A13" sqref="A13"/>
      <selection pane="bottomRight" activeCell="AA51" sqref="AA51"/>
    </sheetView>
  </sheetViews>
  <sheetFormatPr baseColWidth="10" defaultColWidth="11.453125" defaultRowHeight="14.5" x14ac:dyDescent="0.35"/>
  <cols>
    <col min="1" max="1" width="8.26953125" style="1" customWidth="1"/>
    <col min="2" max="2" width="14.54296875" style="1" customWidth="1"/>
    <col min="3" max="3" width="12.81640625" style="1" customWidth="1"/>
    <col min="4" max="4" width="16" style="1" customWidth="1"/>
    <col min="5" max="5" width="27.453125" customWidth="1"/>
    <col min="6" max="6" width="36.7265625" style="1" customWidth="1"/>
    <col min="7" max="7" width="17.54296875" customWidth="1"/>
    <col min="8" max="8" width="26.453125" customWidth="1"/>
    <col min="9" max="9" width="26.26953125" style="1" customWidth="1"/>
    <col min="10" max="10" width="36.1796875" style="1" customWidth="1"/>
    <col min="11" max="11" width="29.26953125" style="1" customWidth="1"/>
    <col min="12" max="12" width="29" customWidth="1"/>
    <col min="13" max="13" width="24.54296875" style="1" customWidth="1"/>
    <col min="14" max="14" width="17.81640625" style="1" customWidth="1"/>
    <col min="15" max="15" width="20.1796875" style="1" customWidth="1"/>
    <col min="16" max="16" width="15.54296875" style="1" customWidth="1"/>
    <col min="17" max="17" width="16.7265625" style="1" customWidth="1"/>
    <col min="18" max="18" width="14.54296875" style="1" customWidth="1"/>
    <col min="19" max="19" width="48.7265625" style="1" customWidth="1"/>
    <col min="20" max="20" width="17.1796875" style="1" customWidth="1"/>
    <col min="21" max="22" width="17.1796875" style="1" hidden="1" customWidth="1"/>
    <col min="23" max="23" width="13.7265625" style="1" hidden="1" customWidth="1"/>
    <col min="24" max="24" width="12.54296875" style="1" customWidth="1"/>
    <col min="25" max="25" width="11.81640625" style="1" customWidth="1"/>
    <col min="26" max="26" width="18.453125" style="1" customWidth="1"/>
    <col min="27" max="27" width="23.81640625" style="1" customWidth="1"/>
    <col min="28" max="28" width="25.81640625" customWidth="1"/>
    <col min="29" max="29" width="18.7265625" hidden="1" customWidth="1"/>
    <col min="30" max="30" width="1.26953125" customWidth="1"/>
  </cols>
  <sheetData>
    <row r="1" spans="1:30" s="2" customFormat="1" ht="21" customHeight="1" x14ac:dyDescent="0.5500000000000000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1"/>
    </row>
    <row r="2" spans="1:30" s="3" customFormat="1" ht="15.5" x14ac:dyDescent="0.35">
      <c r="A2" s="44" t="s">
        <v>34</v>
      </c>
      <c r="B2" s="44"/>
      <c r="C2" s="44"/>
      <c r="D2" s="44"/>
      <c r="E2" s="44"/>
      <c r="F2" s="44"/>
      <c r="G2" s="18"/>
      <c r="H2" s="44" t="s">
        <v>35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0" s="4" customFormat="1" ht="15.5" x14ac:dyDescent="0.35">
      <c r="A3" s="44" t="s">
        <v>32</v>
      </c>
      <c r="B3" s="44"/>
      <c r="C3" s="44"/>
      <c r="D3" s="44"/>
      <c r="E3" s="44"/>
      <c r="F3" s="44"/>
      <c r="G3" s="18"/>
      <c r="H3" s="44" t="s">
        <v>33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0" s="9" customFormat="1" ht="15.5" x14ac:dyDescent="0.35">
      <c r="A4" s="45" t="s">
        <v>127</v>
      </c>
      <c r="B4" s="45"/>
      <c r="C4" s="45"/>
      <c r="D4" s="45"/>
      <c r="E4" s="45"/>
      <c r="F4" s="45"/>
      <c r="G4" s="19"/>
      <c r="H4" s="45" t="s">
        <v>36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0" s="10" customFormat="1" ht="15.5" x14ac:dyDescent="0.35">
      <c r="A5" s="45" t="s">
        <v>126</v>
      </c>
      <c r="B5" s="45"/>
      <c r="C5" s="45"/>
      <c r="D5" s="45"/>
      <c r="E5" s="45"/>
      <c r="F5" s="45"/>
      <c r="G5" s="19"/>
      <c r="H5" s="81" t="s">
        <v>37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30" s="5" customFormat="1" ht="16" thickBot="1" x14ac:dyDescent="0.4">
      <c r="A6" s="88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30" ht="33" customHeight="1" thickTop="1" thickBot="1" x14ac:dyDescent="0.4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50" t="s">
        <v>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6"/>
      <c r="AD7" s="1"/>
    </row>
    <row r="8" spans="1:30" ht="32.25" customHeight="1" thickTop="1" thickBot="1" x14ac:dyDescent="0.4">
      <c r="A8" s="46" t="s">
        <v>3</v>
      </c>
      <c r="B8" s="85" t="s">
        <v>4</v>
      </c>
      <c r="C8" s="46" t="s">
        <v>5</v>
      </c>
      <c r="D8" s="46" t="s">
        <v>6</v>
      </c>
      <c r="E8" s="46" t="s">
        <v>7</v>
      </c>
      <c r="F8" s="46" t="s">
        <v>8</v>
      </c>
      <c r="G8" s="46" t="s">
        <v>9</v>
      </c>
      <c r="H8" s="46" t="s">
        <v>10</v>
      </c>
      <c r="I8" s="82" t="s">
        <v>11</v>
      </c>
      <c r="J8" s="54" t="s">
        <v>12</v>
      </c>
      <c r="K8" s="54" t="s">
        <v>13</v>
      </c>
      <c r="L8" s="54" t="s">
        <v>14</v>
      </c>
      <c r="M8" s="51" t="s">
        <v>15</v>
      </c>
      <c r="N8" s="52"/>
      <c r="O8" s="51" t="s">
        <v>16</v>
      </c>
      <c r="P8" s="53"/>
      <c r="Q8" s="53"/>
      <c r="R8" s="53"/>
      <c r="S8" s="59" t="s">
        <v>17</v>
      </c>
      <c r="T8" s="59" t="s">
        <v>18</v>
      </c>
      <c r="U8" s="66" t="s">
        <v>19</v>
      </c>
      <c r="V8" s="67"/>
      <c r="W8" s="67"/>
      <c r="X8" s="67"/>
      <c r="Y8" s="68"/>
      <c r="Z8" s="66" t="s">
        <v>116</v>
      </c>
      <c r="AA8" s="68"/>
      <c r="AB8" s="59" t="s">
        <v>20</v>
      </c>
      <c r="AC8" s="17"/>
      <c r="AD8" s="1"/>
    </row>
    <row r="9" spans="1:30" ht="15.5" thickTop="1" thickBot="1" x14ac:dyDescent="0.4">
      <c r="A9" s="47"/>
      <c r="B9" s="86"/>
      <c r="C9" s="47"/>
      <c r="D9" s="47"/>
      <c r="E9" s="47"/>
      <c r="F9" s="47"/>
      <c r="G9" s="47"/>
      <c r="H9" s="47"/>
      <c r="I9" s="83"/>
      <c r="J9" s="55"/>
      <c r="K9" s="55"/>
      <c r="L9" s="55"/>
      <c r="M9" s="55" t="s">
        <v>21</v>
      </c>
      <c r="N9" s="98" t="s">
        <v>22</v>
      </c>
      <c r="O9" s="54" t="s">
        <v>23</v>
      </c>
      <c r="P9" s="57" t="s">
        <v>22</v>
      </c>
      <c r="Q9" s="58"/>
      <c r="R9" s="58"/>
      <c r="S9" s="60"/>
      <c r="T9" s="60"/>
      <c r="U9" s="69"/>
      <c r="V9" s="70"/>
      <c r="W9" s="70"/>
      <c r="X9" s="70"/>
      <c r="Y9" s="71"/>
      <c r="Z9" s="72"/>
      <c r="AA9" s="74"/>
      <c r="AB9" s="60"/>
      <c r="AC9" s="17"/>
      <c r="AD9" s="1"/>
    </row>
    <row r="10" spans="1:30" ht="15.5" thickTop="1" thickBot="1" x14ac:dyDescent="0.4">
      <c r="A10" s="47"/>
      <c r="B10" s="86"/>
      <c r="C10" s="47"/>
      <c r="D10" s="47"/>
      <c r="E10" s="47"/>
      <c r="F10" s="47"/>
      <c r="G10" s="47"/>
      <c r="H10" s="47"/>
      <c r="I10" s="83"/>
      <c r="J10" s="55"/>
      <c r="K10" s="55"/>
      <c r="L10" s="55"/>
      <c r="M10" s="55"/>
      <c r="N10" s="98"/>
      <c r="O10" s="55"/>
      <c r="P10" s="55" t="s">
        <v>24</v>
      </c>
      <c r="Q10" s="62" t="s">
        <v>25</v>
      </c>
      <c r="R10" s="62" t="s">
        <v>31</v>
      </c>
      <c r="S10" s="60"/>
      <c r="T10" s="60"/>
      <c r="U10" s="72"/>
      <c r="V10" s="73"/>
      <c r="W10" s="73"/>
      <c r="X10" s="73"/>
      <c r="Y10" s="74"/>
      <c r="Z10" s="59" t="s">
        <v>26</v>
      </c>
      <c r="AA10" s="60" t="s">
        <v>27</v>
      </c>
      <c r="AB10" s="60"/>
      <c r="AC10" s="17"/>
      <c r="AD10" s="1"/>
    </row>
    <row r="11" spans="1:30" ht="33.75" customHeight="1" thickTop="1" thickBot="1" x14ac:dyDescent="0.4">
      <c r="A11" s="47"/>
      <c r="B11" s="86"/>
      <c r="C11" s="47"/>
      <c r="D11" s="47"/>
      <c r="E11" s="47"/>
      <c r="F11" s="47"/>
      <c r="G11" s="47"/>
      <c r="H11" s="47"/>
      <c r="I11" s="83"/>
      <c r="J11" s="55"/>
      <c r="K11" s="55"/>
      <c r="L11" s="55"/>
      <c r="M11" s="55"/>
      <c r="N11" s="98"/>
      <c r="O11" s="55"/>
      <c r="P11" s="55"/>
      <c r="Q11" s="62"/>
      <c r="R11" s="62"/>
      <c r="S11" s="60"/>
      <c r="T11" s="60"/>
      <c r="U11" s="24">
        <v>2020</v>
      </c>
      <c r="V11" s="35"/>
      <c r="W11" s="77" t="s">
        <v>28</v>
      </c>
      <c r="X11" s="78"/>
      <c r="Y11" s="79"/>
      <c r="Z11" s="75"/>
      <c r="AA11" s="64" t="s">
        <v>29</v>
      </c>
      <c r="AB11" s="60"/>
      <c r="AC11" s="17"/>
      <c r="AD11" s="1"/>
    </row>
    <row r="12" spans="1:30" ht="52.5" customHeight="1" thickTop="1" thickBot="1" x14ac:dyDescent="0.4">
      <c r="A12" s="48"/>
      <c r="B12" s="87"/>
      <c r="C12" s="48"/>
      <c r="D12" s="48"/>
      <c r="E12" s="48"/>
      <c r="F12" s="48"/>
      <c r="G12" s="48"/>
      <c r="H12" s="48"/>
      <c r="I12" s="84"/>
      <c r="J12" s="56"/>
      <c r="K12" s="56"/>
      <c r="L12" s="56"/>
      <c r="M12" s="56"/>
      <c r="N12" s="99"/>
      <c r="O12" s="56"/>
      <c r="P12" s="56"/>
      <c r="Q12" s="63"/>
      <c r="R12" s="63"/>
      <c r="S12" s="61">
        <v>2017</v>
      </c>
      <c r="T12" s="61">
        <v>2019</v>
      </c>
      <c r="U12" s="25" t="s">
        <v>30</v>
      </c>
      <c r="V12" s="26"/>
      <c r="W12" s="26">
        <v>2021</v>
      </c>
      <c r="X12" s="27">
        <v>2022</v>
      </c>
      <c r="Y12" s="28">
        <v>2023</v>
      </c>
      <c r="Z12" s="76"/>
      <c r="AA12" s="65" t="s">
        <v>29</v>
      </c>
      <c r="AB12" s="61"/>
      <c r="AC12" s="17"/>
      <c r="AD12" s="1"/>
    </row>
    <row r="13" spans="1:30" ht="163.5" customHeight="1" thickTop="1" thickBot="1" x14ac:dyDescent="0.4">
      <c r="A13" s="92">
        <v>0</v>
      </c>
      <c r="B13" s="89" t="s">
        <v>41</v>
      </c>
      <c r="C13" s="89" t="s">
        <v>40</v>
      </c>
      <c r="D13" s="89" t="s">
        <v>39</v>
      </c>
      <c r="E13" s="89" t="s">
        <v>38</v>
      </c>
      <c r="F13" s="95" t="s">
        <v>68</v>
      </c>
      <c r="G13" s="14">
        <v>47715</v>
      </c>
      <c r="H13" s="14" t="s">
        <v>73</v>
      </c>
      <c r="I13" s="31" t="s">
        <v>49</v>
      </c>
      <c r="J13" s="29" t="s">
        <v>38</v>
      </c>
      <c r="K13" s="21" t="s">
        <v>114</v>
      </c>
      <c r="L13" s="21" t="s">
        <v>115</v>
      </c>
      <c r="M13" s="21" t="s">
        <v>117</v>
      </c>
      <c r="N13" s="22">
        <v>50000</v>
      </c>
      <c r="O13" s="22" t="s">
        <v>122</v>
      </c>
      <c r="P13" s="21"/>
      <c r="Q13" s="22"/>
      <c r="R13" s="22"/>
      <c r="S13" s="21" t="s">
        <v>68</v>
      </c>
      <c r="T13" s="32">
        <f>G13</f>
        <v>47715</v>
      </c>
      <c r="U13" s="21">
        <v>50000</v>
      </c>
      <c r="V13" s="21"/>
      <c r="W13" s="21">
        <v>50000</v>
      </c>
      <c r="X13" s="21">
        <v>50000</v>
      </c>
      <c r="Y13" s="21"/>
      <c r="Z13" s="21">
        <v>30847</v>
      </c>
      <c r="AA13" s="21" t="s">
        <v>128</v>
      </c>
      <c r="AB13" s="21" t="s">
        <v>137</v>
      </c>
      <c r="AC13" s="1"/>
      <c r="AD13" s="1"/>
    </row>
    <row r="14" spans="1:30" s="1" customFormat="1" ht="157.5" customHeight="1" thickTop="1" thickBot="1" x14ac:dyDescent="0.4">
      <c r="A14" s="93"/>
      <c r="B14" s="90"/>
      <c r="C14" s="90"/>
      <c r="D14" s="90"/>
      <c r="E14" s="90"/>
      <c r="F14" s="96"/>
      <c r="G14" s="14">
        <v>19508</v>
      </c>
      <c r="H14" s="14" t="s">
        <v>107</v>
      </c>
      <c r="I14" s="31" t="s">
        <v>61</v>
      </c>
      <c r="J14" s="29" t="s">
        <v>38</v>
      </c>
      <c r="K14" s="21" t="s">
        <v>114</v>
      </c>
      <c r="L14" s="21" t="s">
        <v>115</v>
      </c>
      <c r="M14" s="21" t="s">
        <v>117</v>
      </c>
      <c r="N14" s="21">
        <v>17159</v>
      </c>
      <c r="O14" s="21" t="s">
        <v>122</v>
      </c>
      <c r="P14" s="21"/>
      <c r="Q14" s="21"/>
      <c r="R14" s="21"/>
      <c r="S14" s="21" t="s">
        <v>68</v>
      </c>
      <c r="T14" s="32">
        <f t="shared" ref="T14:T57" si="0">G14</f>
        <v>19508</v>
      </c>
      <c r="U14" s="34">
        <v>17159</v>
      </c>
      <c r="V14" s="37">
        <v>0.34</v>
      </c>
      <c r="W14" s="21">
        <v>17159</v>
      </c>
      <c r="X14" s="21">
        <v>17159</v>
      </c>
      <c r="Y14" s="21"/>
      <c r="Z14" s="38">
        <f>V14*$Z$13</f>
        <v>10487.980000000001</v>
      </c>
      <c r="AA14" s="21" t="s">
        <v>128</v>
      </c>
      <c r="AB14" s="21" t="s">
        <v>130</v>
      </c>
    </row>
    <row r="15" spans="1:30" s="1" customFormat="1" ht="103.5" customHeight="1" thickTop="1" thickBot="1" x14ac:dyDescent="0.4">
      <c r="A15" s="93"/>
      <c r="B15" s="90"/>
      <c r="C15" s="90"/>
      <c r="D15" s="90"/>
      <c r="E15" s="90"/>
      <c r="F15" s="96"/>
      <c r="G15" s="14">
        <v>3677</v>
      </c>
      <c r="H15" s="14" t="s">
        <v>108</v>
      </c>
      <c r="I15" s="31" t="s">
        <v>62</v>
      </c>
      <c r="J15" s="29" t="s">
        <v>38</v>
      </c>
      <c r="K15" s="21" t="s">
        <v>114</v>
      </c>
      <c r="L15" s="21" t="s">
        <v>115</v>
      </c>
      <c r="M15" s="21" t="s">
        <v>117</v>
      </c>
      <c r="N15" s="21">
        <v>6153</v>
      </c>
      <c r="O15" s="21" t="s">
        <v>122</v>
      </c>
      <c r="P15" s="21"/>
      <c r="Q15" s="21"/>
      <c r="R15" s="21"/>
      <c r="S15" s="21" t="s">
        <v>68</v>
      </c>
      <c r="T15" s="32">
        <f t="shared" si="0"/>
        <v>3677</v>
      </c>
      <c r="U15" s="34">
        <v>6153</v>
      </c>
      <c r="V15" s="37">
        <v>0.12</v>
      </c>
      <c r="W15" s="21">
        <v>6153</v>
      </c>
      <c r="X15" s="21">
        <v>6153</v>
      </c>
      <c r="Y15" s="21"/>
      <c r="Z15" s="38">
        <f t="shared" ref="Z15:Z19" si="1">V15*$Z$13</f>
        <v>3701.64</v>
      </c>
      <c r="AA15" s="21" t="s">
        <v>128</v>
      </c>
      <c r="AB15" s="21" t="s">
        <v>131</v>
      </c>
    </row>
    <row r="16" spans="1:30" s="1" customFormat="1" ht="153.75" customHeight="1" thickTop="1" thickBot="1" x14ac:dyDescent="0.4">
      <c r="A16" s="93"/>
      <c r="B16" s="90"/>
      <c r="C16" s="90"/>
      <c r="D16" s="90"/>
      <c r="E16" s="90"/>
      <c r="F16" s="96"/>
      <c r="G16" s="14">
        <v>4895</v>
      </c>
      <c r="H16" s="14" t="s">
        <v>109</v>
      </c>
      <c r="I16" s="31" t="s">
        <v>63</v>
      </c>
      <c r="J16" s="29" t="s">
        <v>38</v>
      </c>
      <c r="K16" s="21" t="s">
        <v>114</v>
      </c>
      <c r="L16" s="21" t="s">
        <v>115</v>
      </c>
      <c r="M16" s="21" t="s">
        <v>117</v>
      </c>
      <c r="N16" s="21">
        <v>5609</v>
      </c>
      <c r="O16" s="21" t="s">
        <v>122</v>
      </c>
      <c r="P16" s="21"/>
      <c r="Q16" s="21"/>
      <c r="R16" s="21"/>
      <c r="S16" s="21" t="s">
        <v>68</v>
      </c>
      <c r="T16" s="32">
        <f t="shared" si="0"/>
        <v>4895</v>
      </c>
      <c r="U16" s="34">
        <v>5609</v>
      </c>
      <c r="V16" s="37">
        <v>0.11</v>
      </c>
      <c r="W16" s="21">
        <v>5609</v>
      </c>
      <c r="X16" s="21">
        <v>5609</v>
      </c>
      <c r="Y16" s="21"/>
      <c r="Z16" s="38">
        <f t="shared" si="1"/>
        <v>3393.17</v>
      </c>
      <c r="AA16" s="21" t="s">
        <v>128</v>
      </c>
      <c r="AB16" s="21" t="s">
        <v>130</v>
      </c>
    </row>
    <row r="17" spans="1:30" s="1" customFormat="1" ht="122.25" customHeight="1" thickTop="1" thickBot="1" x14ac:dyDescent="0.4">
      <c r="A17" s="93"/>
      <c r="B17" s="90"/>
      <c r="C17" s="90"/>
      <c r="D17" s="90"/>
      <c r="E17" s="90"/>
      <c r="F17" s="96"/>
      <c r="G17" s="14">
        <v>3208</v>
      </c>
      <c r="H17" s="14" t="s">
        <v>111</v>
      </c>
      <c r="I17" s="31" t="s">
        <v>64</v>
      </c>
      <c r="J17" s="29" t="s">
        <v>38</v>
      </c>
      <c r="K17" s="21" t="s">
        <v>114</v>
      </c>
      <c r="L17" s="21" t="s">
        <v>115</v>
      </c>
      <c r="M17" s="21" t="s">
        <v>117</v>
      </c>
      <c r="N17" s="21">
        <v>5315</v>
      </c>
      <c r="O17" s="21" t="s">
        <v>122</v>
      </c>
      <c r="P17" s="21"/>
      <c r="Q17" s="21"/>
      <c r="R17" s="21"/>
      <c r="S17" s="21" t="s">
        <v>68</v>
      </c>
      <c r="T17" s="32">
        <f t="shared" si="0"/>
        <v>3208</v>
      </c>
      <c r="U17" s="34">
        <v>5315</v>
      </c>
      <c r="V17" s="37">
        <v>0.11</v>
      </c>
      <c r="W17" s="21">
        <v>5315</v>
      </c>
      <c r="X17" s="21">
        <v>5315</v>
      </c>
      <c r="Y17" s="21"/>
      <c r="Z17" s="38">
        <f t="shared" si="1"/>
        <v>3393.17</v>
      </c>
      <c r="AA17" s="21" t="s">
        <v>128</v>
      </c>
      <c r="AB17" s="21" t="s">
        <v>130</v>
      </c>
    </row>
    <row r="18" spans="1:30" s="1" customFormat="1" ht="106.5" customHeight="1" thickTop="1" thickBot="1" x14ac:dyDescent="0.4">
      <c r="A18" s="93"/>
      <c r="B18" s="90"/>
      <c r="C18" s="90"/>
      <c r="D18" s="90"/>
      <c r="E18" s="90"/>
      <c r="F18" s="96"/>
      <c r="G18" s="14">
        <v>7755</v>
      </c>
      <c r="H18" s="14" t="s">
        <v>110</v>
      </c>
      <c r="I18" s="31" t="s">
        <v>65</v>
      </c>
      <c r="J18" s="29" t="s">
        <v>38</v>
      </c>
      <c r="K18" s="21" t="s">
        <v>114</v>
      </c>
      <c r="L18" s="21" t="s">
        <v>115</v>
      </c>
      <c r="M18" s="21" t="s">
        <v>117</v>
      </c>
      <c r="N18" s="21">
        <v>7428</v>
      </c>
      <c r="O18" s="21" t="s">
        <v>122</v>
      </c>
      <c r="P18" s="21"/>
      <c r="Q18" s="21"/>
      <c r="R18" s="21"/>
      <c r="S18" s="21" t="s">
        <v>68</v>
      </c>
      <c r="T18" s="32">
        <f t="shared" si="0"/>
        <v>7755</v>
      </c>
      <c r="U18" s="34">
        <v>7428</v>
      </c>
      <c r="V18" s="37">
        <v>0.15</v>
      </c>
      <c r="W18" s="21">
        <v>7428</v>
      </c>
      <c r="X18" s="21">
        <v>7428</v>
      </c>
      <c r="Y18" s="21"/>
      <c r="Z18" s="38">
        <f t="shared" si="1"/>
        <v>4627.05</v>
      </c>
      <c r="AA18" s="21" t="s">
        <v>128</v>
      </c>
      <c r="AB18" s="21" t="s">
        <v>132</v>
      </c>
    </row>
    <row r="19" spans="1:30" s="1" customFormat="1" ht="132" customHeight="1" thickTop="1" thickBot="1" x14ac:dyDescent="0.4">
      <c r="A19" s="93"/>
      <c r="B19" s="90"/>
      <c r="C19" s="90"/>
      <c r="D19" s="90"/>
      <c r="E19" s="90"/>
      <c r="F19" s="97"/>
      <c r="G19" s="14">
        <v>8673</v>
      </c>
      <c r="H19" s="14" t="s">
        <v>112</v>
      </c>
      <c r="I19" s="31" t="s">
        <v>66</v>
      </c>
      <c r="J19" s="29" t="s">
        <v>38</v>
      </c>
      <c r="K19" s="21" t="s">
        <v>114</v>
      </c>
      <c r="L19" s="21" t="s">
        <v>115</v>
      </c>
      <c r="M19" s="21" t="s">
        <v>117</v>
      </c>
      <c r="N19" s="21">
        <v>8336</v>
      </c>
      <c r="O19" s="21" t="s">
        <v>122</v>
      </c>
      <c r="P19" s="21"/>
      <c r="Q19" s="21"/>
      <c r="R19" s="21"/>
      <c r="S19" s="21" t="s">
        <v>68</v>
      </c>
      <c r="T19" s="32">
        <f t="shared" si="0"/>
        <v>8673</v>
      </c>
      <c r="U19" s="34">
        <v>8336</v>
      </c>
      <c r="V19" s="37">
        <v>0.17</v>
      </c>
      <c r="W19" s="21">
        <v>8336</v>
      </c>
      <c r="X19" s="21">
        <v>8336</v>
      </c>
      <c r="Y19" s="21"/>
      <c r="Z19" s="38">
        <f t="shared" si="1"/>
        <v>5243.9900000000007</v>
      </c>
      <c r="AA19" s="21" t="s">
        <v>128</v>
      </c>
      <c r="AB19" s="21" t="s">
        <v>130</v>
      </c>
    </row>
    <row r="20" spans="1:30" ht="122.25" customHeight="1" thickTop="1" thickBot="1" x14ac:dyDescent="0.4">
      <c r="A20" s="93"/>
      <c r="B20" s="90"/>
      <c r="C20" s="90"/>
      <c r="D20" s="90"/>
      <c r="E20" s="90"/>
      <c r="F20" s="95" t="s">
        <v>69</v>
      </c>
      <c r="G20" s="31">
        <v>46867</v>
      </c>
      <c r="H20" s="31" t="s">
        <v>79</v>
      </c>
      <c r="I20" s="31" t="s">
        <v>49</v>
      </c>
      <c r="J20" s="29" t="s">
        <v>38</v>
      </c>
      <c r="K20" s="21" t="s">
        <v>114</v>
      </c>
      <c r="L20" s="21" t="s">
        <v>115</v>
      </c>
      <c r="M20" s="21" t="s">
        <v>117</v>
      </c>
      <c r="N20" s="20">
        <v>18900</v>
      </c>
      <c r="O20" s="21" t="s">
        <v>122</v>
      </c>
      <c r="P20" s="20"/>
      <c r="Q20" s="20"/>
      <c r="R20" s="20"/>
      <c r="S20" s="21" t="s">
        <v>69</v>
      </c>
      <c r="T20" s="32">
        <f t="shared" si="0"/>
        <v>46867</v>
      </c>
      <c r="U20" s="21">
        <v>18900</v>
      </c>
      <c r="V20" s="21"/>
      <c r="W20" s="21">
        <v>14516</v>
      </c>
      <c r="X20" s="21">
        <v>18900</v>
      </c>
      <c r="Y20" s="21"/>
      <c r="Z20" s="21">
        <v>36090</v>
      </c>
      <c r="AA20" s="21" t="s">
        <v>128</v>
      </c>
      <c r="AB20" s="21" t="s">
        <v>130</v>
      </c>
      <c r="AC20" s="1"/>
      <c r="AD20" s="1"/>
    </row>
    <row r="21" spans="1:30" s="1" customFormat="1" ht="148.5" customHeight="1" thickTop="1" thickBot="1" x14ac:dyDescent="0.4">
      <c r="A21" s="93"/>
      <c r="B21" s="90"/>
      <c r="C21" s="90"/>
      <c r="D21" s="90"/>
      <c r="E21" s="90"/>
      <c r="F21" s="96"/>
      <c r="G21" s="31">
        <v>12012</v>
      </c>
      <c r="H21" s="31" t="s">
        <v>80</v>
      </c>
      <c r="I21" s="31" t="s">
        <v>61</v>
      </c>
      <c r="J21" s="29" t="s">
        <v>38</v>
      </c>
      <c r="K21" s="21" t="s">
        <v>114</v>
      </c>
      <c r="L21" s="21" t="s">
        <v>115</v>
      </c>
      <c r="M21" s="21" t="s">
        <v>117</v>
      </c>
      <c r="N21" s="20">
        <v>4843</v>
      </c>
      <c r="O21" s="21" t="s">
        <v>122</v>
      </c>
      <c r="P21" s="20"/>
      <c r="Q21" s="20"/>
      <c r="R21" s="20"/>
      <c r="S21" s="21" t="s">
        <v>69</v>
      </c>
      <c r="T21" s="32">
        <f t="shared" si="0"/>
        <v>12012</v>
      </c>
      <c r="U21" s="34">
        <v>4843</v>
      </c>
      <c r="V21" s="37">
        <v>0.26</v>
      </c>
      <c r="W21" s="21">
        <v>3720</v>
      </c>
      <c r="X21" s="21">
        <v>4843</v>
      </c>
      <c r="Y21" s="21"/>
      <c r="Z21" s="38">
        <f>$Z$20*V21</f>
        <v>9383.4</v>
      </c>
      <c r="AA21" s="21" t="s">
        <v>128</v>
      </c>
      <c r="AB21" s="21" t="s">
        <v>133</v>
      </c>
    </row>
    <row r="22" spans="1:30" s="1" customFormat="1" ht="126" customHeight="1" thickTop="1" thickBot="1" x14ac:dyDescent="0.4">
      <c r="A22" s="93"/>
      <c r="B22" s="90"/>
      <c r="C22" s="90"/>
      <c r="D22" s="90"/>
      <c r="E22" s="90"/>
      <c r="F22" s="96"/>
      <c r="G22" s="31">
        <v>5586</v>
      </c>
      <c r="H22" s="31" t="s">
        <v>81</v>
      </c>
      <c r="I22" s="31" t="s">
        <v>62</v>
      </c>
      <c r="J22" s="29" t="s">
        <v>38</v>
      </c>
      <c r="K22" s="21" t="s">
        <v>114</v>
      </c>
      <c r="L22" s="21" t="s">
        <v>115</v>
      </c>
      <c r="M22" s="21" t="s">
        <v>117</v>
      </c>
      <c r="N22" s="20">
        <v>2253</v>
      </c>
      <c r="O22" s="21" t="s">
        <v>122</v>
      </c>
      <c r="P22" s="20"/>
      <c r="Q22" s="20"/>
      <c r="R22" s="20"/>
      <c r="S22" s="21" t="s">
        <v>69</v>
      </c>
      <c r="T22" s="32">
        <f t="shared" si="0"/>
        <v>5586</v>
      </c>
      <c r="U22" s="34">
        <v>2253</v>
      </c>
      <c r="V22" s="37">
        <v>0.12</v>
      </c>
      <c r="W22" s="21">
        <v>1730</v>
      </c>
      <c r="X22" s="21">
        <v>2253</v>
      </c>
      <c r="Y22" s="21"/>
      <c r="Z22" s="38">
        <f t="shared" ref="Z22:Z26" si="2">$Z$20*V22</f>
        <v>4330.8</v>
      </c>
      <c r="AA22" s="21" t="s">
        <v>128</v>
      </c>
      <c r="AB22" s="21" t="s">
        <v>130</v>
      </c>
    </row>
    <row r="23" spans="1:30" s="1" customFormat="1" ht="150" customHeight="1" thickTop="1" thickBot="1" x14ac:dyDescent="0.4">
      <c r="A23" s="93"/>
      <c r="B23" s="90"/>
      <c r="C23" s="90"/>
      <c r="D23" s="90"/>
      <c r="E23" s="90"/>
      <c r="F23" s="96"/>
      <c r="G23" s="31">
        <v>5640</v>
      </c>
      <c r="H23" s="31" t="s">
        <v>83</v>
      </c>
      <c r="I23" s="31" t="s">
        <v>63</v>
      </c>
      <c r="J23" s="29" t="s">
        <v>38</v>
      </c>
      <c r="K23" s="21" t="s">
        <v>114</v>
      </c>
      <c r="L23" s="21" t="s">
        <v>115</v>
      </c>
      <c r="M23" s="21" t="s">
        <v>117</v>
      </c>
      <c r="N23" s="20">
        <v>2275</v>
      </c>
      <c r="O23" s="21" t="s">
        <v>122</v>
      </c>
      <c r="P23" s="20"/>
      <c r="Q23" s="20"/>
      <c r="R23" s="20"/>
      <c r="S23" s="21" t="s">
        <v>69</v>
      </c>
      <c r="T23" s="32">
        <f t="shared" si="0"/>
        <v>5640</v>
      </c>
      <c r="U23" s="34">
        <v>2275</v>
      </c>
      <c r="V23" s="37">
        <v>0.12</v>
      </c>
      <c r="W23" s="21">
        <v>1745</v>
      </c>
      <c r="X23" s="21">
        <v>2275</v>
      </c>
      <c r="Y23" s="21"/>
      <c r="Z23" s="38">
        <f t="shared" si="2"/>
        <v>4330.8</v>
      </c>
      <c r="AA23" s="21" t="s">
        <v>128</v>
      </c>
      <c r="AB23" s="21" t="s">
        <v>130</v>
      </c>
    </row>
    <row r="24" spans="1:30" s="1" customFormat="1" ht="147.75" customHeight="1" thickTop="1" thickBot="1" x14ac:dyDescent="0.4">
      <c r="A24" s="93"/>
      <c r="B24" s="90"/>
      <c r="C24" s="90"/>
      <c r="D24" s="90"/>
      <c r="E24" s="90"/>
      <c r="F24" s="96"/>
      <c r="G24" s="31">
        <v>6960</v>
      </c>
      <c r="H24" s="31" t="s">
        <v>84</v>
      </c>
      <c r="I24" s="31" t="s">
        <v>64</v>
      </c>
      <c r="J24" s="29" t="s">
        <v>38</v>
      </c>
      <c r="K24" s="21" t="s">
        <v>114</v>
      </c>
      <c r="L24" s="21" t="s">
        <v>115</v>
      </c>
      <c r="M24" s="21" t="s">
        <v>117</v>
      </c>
      <c r="N24" s="20">
        <v>2807</v>
      </c>
      <c r="O24" s="21" t="s">
        <v>122</v>
      </c>
      <c r="P24" s="20"/>
      <c r="Q24" s="20"/>
      <c r="R24" s="20"/>
      <c r="S24" s="21" t="s">
        <v>69</v>
      </c>
      <c r="T24" s="32">
        <f t="shared" si="0"/>
        <v>6960</v>
      </c>
      <c r="U24" s="34">
        <v>2807</v>
      </c>
      <c r="V24" s="37">
        <v>0.15</v>
      </c>
      <c r="W24" s="21">
        <v>2156</v>
      </c>
      <c r="X24" s="21">
        <v>2807</v>
      </c>
      <c r="Y24" s="21"/>
      <c r="Z24" s="38">
        <f t="shared" si="2"/>
        <v>5413.5</v>
      </c>
      <c r="AA24" s="21" t="s">
        <v>128</v>
      </c>
      <c r="AB24" s="21" t="s">
        <v>130</v>
      </c>
    </row>
    <row r="25" spans="1:30" s="1" customFormat="1" ht="138" customHeight="1" thickTop="1" thickBot="1" x14ac:dyDescent="0.4">
      <c r="A25" s="93"/>
      <c r="B25" s="90"/>
      <c r="C25" s="90"/>
      <c r="D25" s="90"/>
      <c r="E25" s="90"/>
      <c r="F25" s="96"/>
      <c r="G25" s="31">
        <v>8487</v>
      </c>
      <c r="H25" s="31" t="s">
        <v>82</v>
      </c>
      <c r="I25" s="31" t="s">
        <v>65</v>
      </c>
      <c r="J25" s="29" t="s">
        <v>38</v>
      </c>
      <c r="K25" s="21" t="s">
        <v>114</v>
      </c>
      <c r="L25" s="21" t="s">
        <v>115</v>
      </c>
      <c r="M25" s="21" t="s">
        <v>118</v>
      </c>
      <c r="N25" s="20">
        <v>3423</v>
      </c>
      <c r="O25" s="21" t="s">
        <v>122</v>
      </c>
      <c r="P25" s="20"/>
      <c r="Q25" s="20"/>
      <c r="R25" s="20"/>
      <c r="S25" s="21" t="s">
        <v>69</v>
      </c>
      <c r="T25" s="32">
        <f t="shared" si="0"/>
        <v>8487</v>
      </c>
      <c r="U25" s="34">
        <v>3423</v>
      </c>
      <c r="V25" s="37">
        <v>0.18</v>
      </c>
      <c r="W25" s="21">
        <v>2629</v>
      </c>
      <c r="X25" s="21">
        <v>3423</v>
      </c>
      <c r="Y25" s="21"/>
      <c r="Z25" s="38">
        <f t="shared" si="2"/>
        <v>6496.2</v>
      </c>
      <c r="AA25" s="21" t="s">
        <v>128</v>
      </c>
      <c r="AB25" s="21" t="s">
        <v>130</v>
      </c>
    </row>
    <row r="26" spans="1:30" s="1" customFormat="1" ht="134.25" customHeight="1" thickTop="1" thickBot="1" x14ac:dyDescent="0.4">
      <c r="A26" s="94"/>
      <c r="B26" s="90"/>
      <c r="C26" s="90"/>
      <c r="D26" s="91"/>
      <c r="E26" s="91"/>
      <c r="F26" s="97"/>
      <c r="G26" s="31">
        <v>8182</v>
      </c>
      <c r="H26" s="31" t="s">
        <v>85</v>
      </c>
      <c r="I26" s="31" t="s">
        <v>66</v>
      </c>
      <c r="J26" s="29" t="s">
        <v>38</v>
      </c>
      <c r="K26" s="21" t="s">
        <v>114</v>
      </c>
      <c r="L26" s="21" t="s">
        <v>115</v>
      </c>
      <c r="M26" s="21" t="s">
        <v>118</v>
      </c>
      <c r="N26" s="20">
        <v>3299</v>
      </c>
      <c r="O26" s="21" t="s">
        <v>122</v>
      </c>
      <c r="P26" s="20"/>
      <c r="Q26" s="20"/>
      <c r="R26" s="20"/>
      <c r="S26" s="21" t="s">
        <v>69</v>
      </c>
      <c r="T26" s="32">
        <f t="shared" si="0"/>
        <v>8182</v>
      </c>
      <c r="U26" s="34">
        <v>3299</v>
      </c>
      <c r="V26" s="37">
        <v>0.17</v>
      </c>
      <c r="W26" s="21">
        <v>2534</v>
      </c>
      <c r="X26" s="21">
        <v>3299</v>
      </c>
      <c r="Y26" s="21"/>
      <c r="Z26" s="38">
        <f t="shared" si="2"/>
        <v>6135.3</v>
      </c>
      <c r="AA26" s="21" t="s">
        <v>128</v>
      </c>
      <c r="AB26" s="21" t="s">
        <v>130</v>
      </c>
    </row>
    <row r="27" spans="1:30" ht="133.5" customHeight="1" thickTop="1" thickBot="1" x14ac:dyDescent="0.4">
      <c r="A27" s="89">
        <v>4</v>
      </c>
      <c r="B27" s="90"/>
      <c r="C27" s="90"/>
      <c r="D27" s="89" t="s">
        <v>42</v>
      </c>
      <c r="E27" s="89" t="s">
        <v>43</v>
      </c>
      <c r="F27" s="95" t="s">
        <v>70</v>
      </c>
      <c r="G27" s="31">
        <v>180282</v>
      </c>
      <c r="H27" s="31" t="s">
        <v>86</v>
      </c>
      <c r="I27" s="31" t="s">
        <v>49</v>
      </c>
      <c r="J27" s="89" t="s">
        <v>43</v>
      </c>
      <c r="K27" s="21" t="s">
        <v>114</v>
      </c>
      <c r="L27" s="21" t="s">
        <v>115</v>
      </c>
      <c r="M27" s="21" t="s">
        <v>118</v>
      </c>
      <c r="N27" s="20">
        <v>184000</v>
      </c>
      <c r="O27" s="33" t="s">
        <v>123</v>
      </c>
      <c r="P27" s="42">
        <f>SUM(P28:P33)</f>
        <v>83932.0677</v>
      </c>
      <c r="Q27" s="42">
        <f>SUM(Q28:Q33)</f>
        <v>100067.9323</v>
      </c>
      <c r="R27" s="20"/>
      <c r="S27" s="21" t="s">
        <v>70</v>
      </c>
      <c r="T27" s="32">
        <f t="shared" si="0"/>
        <v>180282</v>
      </c>
      <c r="U27" s="21">
        <v>184000</v>
      </c>
      <c r="V27" s="21"/>
      <c r="W27" s="21">
        <v>184000</v>
      </c>
      <c r="X27" s="21">
        <v>184000</v>
      </c>
      <c r="Y27" s="21"/>
      <c r="Z27" s="21">
        <v>71046</v>
      </c>
      <c r="AA27" s="21" t="s">
        <v>129</v>
      </c>
      <c r="AB27" s="21" t="s">
        <v>130</v>
      </c>
      <c r="AC27" s="1"/>
      <c r="AD27" s="1"/>
    </row>
    <row r="28" spans="1:30" s="1" customFormat="1" ht="147.75" customHeight="1" thickTop="1" thickBot="1" x14ac:dyDescent="0.4">
      <c r="A28" s="90"/>
      <c r="B28" s="90"/>
      <c r="C28" s="90"/>
      <c r="D28" s="90"/>
      <c r="E28" s="90"/>
      <c r="F28" s="96"/>
      <c r="G28" s="31">
        <v>80041</v>
      </c>
      <c r="H28" s="31" t="s">
        <v>87</v>
      </c>
      <c r="I28" s="31" t="s">
        <v>61</v>
      </c>
      <c r="J28" s="90"/>
      <c r="K28" s="21" t="s">
        <v>114</v>
      </c>
      <c r="L28" s="21" t="s">
        <v>115</v>
      </c>
      <c r="M28" s="21" t="s">
        <v>118</v>
      </c>
      <c r="N28" s="20">
        <v>82065</v>
      </c>
      <c r="O28" s="33" t="s">
        <v>123</v>
      </c>
      <c r="P28" s="42">
        <f>N28*45.95%</f>
        <v>37708.8675</v>
      </c>
      <c r="Q28" s="42">
        <f>N28*54.05%</f>
        <v>44356.1325</v>
      </c>
      <c r="R28" s="20"/>
      <c r="S28" s="21" t="s">
        <v>70</v>
      </c>
      <c r="T28" s="32">
        <f t="shared" si="0"/>
        <v>80041</v>
      </c>
      <c r="U28" s="34">
        <v>82065</v>
      </c>
      <c r="V28" s="37">
        <v>0.45</v>
      </c>
      <c r="W28" s="21">
        <v>82065</v>
      </c>
      <c r="X28" s="21">
        <v>82065</v>
      </c>
      <c r="Y28" s="21"/>
      <c r="Z28" s="21">
        <f>$Z$27*V28</f>
        <v>31970.7</v>
      </c>
      <c r="AA28" s="21" t="s">
        <v>129</v>
      </c>
      <c r="AB28" s="21" t="s">
        <v>130</v>
      </c>
    </row>
    <row r="29" spans="1:30" s="1" customFormat="1" ht="151.5" customHeight="1" thickTop="1" thickBot="1" x14ac:dyDescent="0.4">
      <c r="A29" s="90"/>
      <c r="B29" s="90"/>
      <c r="C29" s="90"/>
      <c r="D29" s="90"/>
      <c r="E29" s="90"/>
      <c r="F29" s="96"/>
      <c r="G29" s="31">
        <v>19343</v>
      </c>
      <c r="H29" s="31" t="s">
        <v>88</v>
      </c>
      <c r="I29" s="31" t="s">
        <v>62</v>
      </c>
      <c r="J29" s="90"/>
      <c r="K29" s="21" t="s">
        <v>114</v>
      </c>
      <c r="L29" s="21" t="s">
        <v>115</v>
      </c>
      <c r="M29" s="21" t="s">
        <v>118</v>
      </c>
      <c r="N29" s="20">
        <v>19823</v>
      </c>
      <c r="O29" s="33" t="s">
        <v>123</v>
      </c>
      <c r="P29" s="42">
        <f>N29*44.6%</f>
        <v>8841.0580000000009</v>
      </c>
      <c r="Q29" s="42">
        <f>N29*55.4%</f>
        <v>10981.941999999999</v>
      </c>
      <c r="R29" s="20"/>
      <c r="S29" s="21" t="s">
        <v>70</v>
      </c>
      <c r="T29" s="32">
        <f t="shared" si="0"/>
        <v>19343</v>
      </c>
      <c r="U29" s="34">
        <v>19823</v>
      </c>
      <c r="V29" s="37">
        <v>0.11</v>
      </c>
      <c r="W29" s="21">
        <v>19823</v>
      </c>
      <c r="X29" s="21">
        <v>19823</v>
      </c>
      <c r="Y29" s="21"/>
      <c r="Z29" s="21">
        <f t="shared" ref="Z29:Z33" si="3">$Z$27*V29</f>
        <v>7815.06</v>
      </c>
      <c r="AA29" s="21" t="s">
        <v>129</v>
      </c>
      <c r="AB29" s="21" t="s">
        <v>130</v>
      </c>
    </row>
    <row r="30" spans="1:30" s="1" customFormat="1" ht="133.5" customHeight="1" thickTop="1" thickBot="1" x14ac:dyDescent="0.4">
      <c r="A30" s="90"/>
      <c r="B30" s="90"/>
      <c r="C30" s="90"/>
      <c r="D30" s="90"/>
      <c r="E30" s="90"/>
      <c r="F30" s="96"/>
      <c r="G30" s="31">
        <v>14498</v>
      </c>
      <c r="H30" s="31" t="s">
        <v>89</v>
      </c>
      <c r="I30" s="31" t="s">
        <v>63</v>
      </c>
      <c r="J30" s="90"/>
      <c r="K30" s="21" t="s">
        <v>114</v>
      </c>
      <c r="L30" s="21" t="s">
        <v>115</v>
      </c>
      <c r="M30" s="21" t="s">
        <v>118</v>
      </c>
      <c r="N30" s="20">
        <v>14857</v>
      </c>
      <c r="O30" s="33" t="s">
        <v>123</v>
      </c>
      <c r="P30" s="42">
        <f>N30*44.8%</f>
        <v>6655.9359999999997</v>
      </c>
      <c r="Q30" s="42">
        <f>N30*55.2%</f>
        <v>8201.0640000000003</v>
      </c>
      <c r="R30" s="20"/>
      <c r="S30" s="21" t="s">
        <v>70</v>
      </c>
      <c r="T30" s="32">
        <f t="shared" si="0"/>
        <v>14498</v>
      </c>
      <c r="U30" s="34">
        <v>14857</v>
      </c>
      <c r="V30" s="37">
        <v>0.08</v>
      </c>
      <c r="W30" s="21">
        <v>14857</v>
      </c>
      <c r="X30" s="21">
        <v>14857</v>
      </c>
      <c r="Y30" s="21"/>
      <c r="Z30" s="21">
        <f t="shared" si="3"/>
        <v>5683.68</v>
      </c>
      <c r="AA30" s="21" t="s">
        <v>129</v>
      </c>
      <c r="AB30" s="21" t="s">
        <v>130</v>
      </c>
    </row>
    <row r="31" spans="1:30" s="1" customFormat="1" ht="121.5" customHeight="1" thickTop="1" thickBot="1" x14ac:dyDescent="0.4">
      <c r="A31" s="90"/>
      <c r="B31" s="90"/>
      <c r="C31" s="90"/>
      <c r="D31" s="90"/>
      <c r="E31" s="90"/>
      <c r="F31" s="96"/>
      <c r="G31" s="31">
        <v>18828</v>
      </c>
      <c r="H31" s="31" t="s">
        <v>90</v>
      </c>
      <c r="I31" s="31" t="s">
        <v>64</v>
      </c>
      <c r="J31" s="90"/>
      <c r="K31" s="21" t="s">
        <v>114</v>
      </c>
      <c r="L31" s="21" t="s">
        <v>115</v>
      </c>
      <c r="M31" s="21" t="s">
        <v>118</v>
      </c>
      <c r="N31" s="20">
        <v>19255</v>
      </c>
      <c r="O31" s="33" t="s">
        <v>123</v>
      </c>
      <c r="P31" s="42">
        <f>N31*44.5%</f>
        <v>8568.4750000000004</v>
      </c>
      <c r="Q31" s="42">
        <f>N31*55.5%</f>
        <v>10686.525000000001</v>
      </c>
      <c r="R31" s="20"/>
      <c r="S31" s="21" t="s">
        <v>70</v>
      </c>
      <c r="T31" s="32">
        <f t="shared" si="0"/>
        <v>18828</v>
      </c>
      <c r="U31" s="34">
        <v>19255</v>
      </c>
      <c r="V31" s="37">
        <v>0.1</v>
      </c>
      <c r="W31" s="21">
        <v>19255</v>
      </c>
      <c r="X31" s="21">
        <v>19255</v>
      </c>
      <c r="Y31" s="21"/>
      <c r="Z31" s="21">
        <f t="shared" si="3"/>
        <v>7104.6</v>
      </c>
      <c r="AA31" s="21" t="s">
        <v>129</v>
      </c>
      <c r="AB31" s="21" t="s">
        <v>130</v>
      </c>
    </row>
    <row r="32" spans="1:30" s="1" customFormat="1" ht="134.25" customHeight="1" thickTop="1" thickBot="1" x14ac:dyDescent="0.4">
      <c r="A32" s="90"/>
      <c r="B32" s="90"/>
      <c r="C32" s="90"/>
      <c r="D32" s="90"/>
      <c r="E32" s="90"/>
      <c r="F32" s="96"/>
      <c r="G32" s="31">
        <v>26705</v>
      </c>
      <c r="H32" s="31" t="s">
        <v>92</v>
      </c>
      <c r="I32" s="31" t="s">
        <v>65</v>
      </c>
      <c r="J32" s="90"/>
      <c r="K32" s="21" t="s">
        <v>114</v>
      </c>
      <c r="L32" s="21" t="s">
        <v>115</v>
      </c>
      <c r="M32" s="21" t="s">
        <v>118</v>
      </c>
      <c r="N32" s="20">
        <v>26616</v>
      </c>
      <c r="O32" s="33" t="s">
        <v>123</v>
      </c>
      <c r="P32" s="42">
        <f>N32*46.75%</f>
        <v>12442.980000000001</v>
      </c>
      <c r="Q32" s="42">
        <f>N32*53.25%</f>
        <v>14173.019999999999</v>
      </c>
      <c r="R32" s="20"/>
      <c r="S32" s="21" t="s">
        <v>70</v>
      </c>
      <c r="T32" s="32">
        <f t="shared" si="0"/>
        <v>26705</v>
      </c>
      <c r="U32" s="34">
        <v>26616</v>
      </c>
      <c r="V32" s="37">
        <v>0.14000000000000001</v>
      </c>
      <c r="W32" s="21">
        <v>26616</v>
      </c>
      <c r="X32" s="21">
        <v>26616</v>
      </c>
      <c r="Y32" s="21"/>
      <c r="Z32" s="21">
        <f t="shared" si="3"/>
        <v>9946.44</v>
      </c>
      <c r="AA32" s="21" t="s">
        <v>129</v>
      </c>
      <c r="AB32" s="21" t="s">
        <v>130</v>
      </c>
    </row>
    <row r="33" spans="1:29" s="1" customFormat="1" ht="149.25" customHeight="1" thickTop="1" thickBot="1" x14ac:dyDescent="0.4">
      <c r="A33" s="90"/>
      <c r="B33" s="90"/>
      <c r="C33" s="90"/>
      <c r="D33" s="90"/>
      <c r="E33" s="90"/>
      <c r="F33" s="97"/>
      <c r="G33" s="31">
        <v>20867</v>
      </c>
      <c r="H33" s="31" t="s">
        <v>91</v>
      </c>
      <c r="I33" s="31" t="s">
        <v>66</v>
      </c>
      <c r="J33" s="90"/>
      <c r="K33" s="21" t="s">
        <v>114</v>
      </c>
      <c r="L33" s="21" t="s">
        <v>115</v>
      </c>
      <c r="M33" s="21" t="s">
        <v>118</v>
      </c>
      <c r="N33" s="20">
        <v>21384</v>
      </c>
      <c r="O33" s="33" t="s">
        <v>123</v>
      </c>
      <c r="P33" s="42">
        <f>N33*45.43%</f>
        <v>9714.7511999999988</v>
      </c>
      <c r="Q33" s="42">
        <f>N33*54.57%</f>
        <v>11669.248799999999</v>
      </c>
      <c r="R33" s="20"/>
      <c r="S33" s="21" t="s">
        <v>70</v>
      </c>
      <c r="T33" s="32">
        <f t="shared" si="0"/>
        <v>20867</v>
      </c>
      <c r="U33" s="34">
        <v>21384</v>
      </c>
      <c r="V33" s="37">
        <v>0.12</v>
      </c>
      <c r="W33" s="21">
        <v>21384</v>
      </c>
      <c r="X33" s="21">
        <v>21384</v>
      </c>
      <c r="Y33" s="21"/>
      <c r="Z33" s="21">
        <f t="shared" si="3"/>
        <v>8525.52</v>
      </c>
      <c r="AA33" s="21" t="s">
        <v>129</v>
      </c>
      <c r="AB33" s="21" t="s">
        <v>130</v>
      </c>
    </row>
    <row r="34" spans="1:29" ht="151.5" customHeight="1" thickTop="1" thickBot="1" x14ac:dyDescent="0.4">
      <c r="A34" s="91"/>
      <c r="B34" s="90"/>
      <c r="C34" s="90"/>
      <c r="D34" s="91"/>
      <c r="E34" s="91"/>
      <c r="F34" s="12" t="s">
        <v>44</v>
      </c>
      <c r="G34" s="31" t="s">
        <v>48</v>
      </c>
      <c r="H34" s="31" t="s">
        <v>93</v>
      </c>
      <c r="I34" s="31" t="s">
        <v>49</v>
      </c>
      <c r="J34" s="91"/>
      <c r="K34" s="21" t="s">
        <v>114</v>
      </c>
      <c r="L34" s="21" t="s">
        <v>115</v>
      </c>
      <c r="M34" s="21" t="s">
        <v>118</v>
      </c>
      <c r="N34" s="30">
        <v>0.78</v>
      </c>
      <c r="O34" s="33" t="s">
        <v>123</v>
      </c>
      <c r="P34" s="20" t="s">
        <v>48</v>
      </c>
      <c r="Q34" s="20" t="s">
        <v>48</v>
      </c>
      <c r="R34" s="20"/>
      <c r="S34" s="21" t="s">
        <v>44</v>
      </c>
      <c r="T34" s="32" t="str">
        <f t="shared" si="0"/>
        <v>ND</v>
      </c>
      <c r="U34" s="21">
        <v>78</v>
      </c>
      <c r="V34" s="21"/>
      <c r="W34" s="21">
        <v>79</v>
      </c>
      <c r="X34" s="21">
        <v>80</v>
      </c>
      <c r="Y34" s="21"/>
      <c r="Z34" s="21">
        <f t="shared" ref="Z34" si="4">Z33*V34</f>
        <v>0</v>
      </c>
      <c r="AA34" s="21"/>
      <c r="AB34" s="21" t="s">
        <v>130</v>
      </c>
      <c r="AC34" s="1"/>
    </row>
    <row r="35" spans="1:29" ht="125.25" customHeight="1" thickTop="1" thickBot="1" x14ac:dyDescent="0.4">
      <c r="A35" s="89" t="s">
        <v>46</v>
      </c>
      <c r="B35" s="90"/>
      <c r="C35" s="90"/>
      <c r="D35" s="95" t="s">
        <v>45</v>
      </c>
      <c r="E35" s="95" t="s">
        <v>47</v>
      </c>
      <c r="F35" s="95" t="s">
        <v>72</v>
      </c>
      <c r="G35" s="14">
        <v>24244</v>
      </c>
      <c r="H35" s="14" t="s">
        <v>74</v>
      </c>
      <c r="I35" s="31" t="s">
        <v>49</v>
      </c>
      <c r="J35" s="29" t="s">
        <v>72</v>
      </c>
      <c r="K35" s="21" t="s">
        <v>114</v>
      </c>
      <c r="L35" s="21" t="s">
        <v>115</v>
      </c>
      <c r="M35" s="21" t="s">
        <v>119</v>
      </c>
      <c r="N35" s="20">
        <v>28744</v>
      </c>
      <c r="O35" s="43" t="s">
        <v>124</v>
      </c>
      <c r="P35" s="42">
        <f>SUM(P36:P41)</f>
        <v>14911.106999999998</v>
      </c>
      <c r="Q35" s="42">
        <f>SUM(Q36:Q41)</f>
        <v>13831.332500000002</v>
      </c>
      <c r="R35" s="20"/>
      <c r="S35" s="21" t="s">
        <v>72</v>
      </c>
      <c r="T35" s="32">
        <f t="shared" si="0"/>
        <v>24244</v>
      </c>
      <c r="U35" s="21">
        <v>28744</v>
      </c>
      <c r="V35" s="21"/>
      <c r="W35" s="21">
        <v>31744</v>
      </c>
      <c r="X35" s="21">
        <v>34244</v>
      </c>
      <c r="Y35" s="21"/>
      <c r="Z35" s="21">
        <v>33130</v>
      </c>
      <c r="AA35" s="21" t="s">
        <v>134</v>
      </c>
      <c r="AB35" s="21" t="s">
        <v>130</v>
      </c>
      <c r="AC35" s="1"/>
    </row>
    <row r="36" spans="1:29" s="1" customFormat="1" ht="147.75" customHeight="1" thickTop="1" thickBot="1" x14ac:dyDescent="0.4">
      <c r="A36" s="90"/>
      <c r="B36" s="90"/>
      <c r="C36" s="90"/>
      <c r="D36" s="96"/>
      <c r="E36" s="96"/>
      <c r="F36" s="96"/>
      <c r="G36" s="14">
        <v>15198</v>
      </c>
      <c r="H36" s="14" t="s">
        <v>94</v>
      </c>
      <c r="I36" s="31" t="s">
        <v>61</v>
      </c>
      <c r="J36" s="29" t="s">
        <v>72</v>
      </c>
      <c r="K36" s="21" t="s">
        <v>114</v>
      </c>
      <c r="L36" s="21" t="s">
        <v>115</v>
      </c>
      <c r="M36" s="21" t="s">
        <v>119</v>
      </c>
      <c r="N36" s="20">
        <v>18033</v>
      </c>
      <c r="O36" s="43" t="s">
        <v>124</v>
      </c>
      <c r="P36" s="42">
        <f>N36*51.85%</f>
        <v>9350.1104999999989</v>
      </c>
      <c r="Q36" s="42">
        <f>N36*48.14%</f>
        <v>8681.0861999999997</v>
      </c>
      <c r="R36" s="42">
        <f>N36*5%</f>
        <v>901.65000000000009</v>
      </c>
      <c r="S36" s="21" t="s">
        <v>72</v>
      </c>
      <c r="T36" s="32">
        <f t="shared" si="0"/>
        <v>15198</v>
      </c>
      <c r="U36" s="34">
        <v>18033</v>
      </c>
      <c r="V36" s="41">
        <v>0.63</v>
      </c>
      <c r="W36" s="21">
        <v>19923</v>
      </c>
      <c r="X36" s="21">
        <v>21498</v>
      </c>
      <c r="Y36" s="21"/>
      <c r="Z36" s="38">
        <f>V36*$Z$35</f>
        <v>20871.900000000001</v>
      </c>
      <c r="AA36" s="21" t="s">
        <v>134</v>
      </c>
      <c r="AB36" s="21" t="s">
        <v>130</v>
      </c>
    </row>
    <row r="37" spans="1:29" s="1" customFormat="1" ht="102" customHeight="1" thickTop="1" thickBot="1" x14ac:dyDescent="0.4">
      <c r="A37" s="90"/>
      <c r="B37" s="90"/>
      <c r="C37" s="90"/>
      <c r="D37" s="96"/>
      <c r="E37" s="96"/>
      <c r="F37" s="96"/>
      <c r="G37" s="14">
        <v>2878</v>
      </c>
      <c r="H37" s="14" t="s">
        <v>113</v>
      </c>
      <c r="I37" s="31" t="s">
        <v>62</v>
      </c>
      <c r="J37" s="29" t="s">
        <v>72</v>
      </c>
      <c r="K37" s="21" t="s">
        <v>114</v>
      </c>
      <c r="L37" s="21" t="s">
        <v>115</v>
      </c>
      <c r="M37" s="21" t="s">
        <v>119</v>
      </c>
      <c r="N37" s="20">
        <v>3418</v>
      </c>
      <c r="O37" s="43" t="s">
        <v>124</v>
      </c>
      <c r="P37" s="42">
        <f>N37*52.26%</f>
        <v>1786.2467999999999</v>
      </c>
      <c r="Q37" s="42">
        <f>N37*47.74%</f>
        <v>1631.7532000000001</v>
      </c>
      <c r="R37" s="20"/>
      <c r="S37" s="21" t="s">
        <v>72</v>
      </c>
      <c r="T37" s="32">
        <f t="shared" si="0"/>
        <v>2878</v>
      </c>
      <c r="U37" s="34">
        <v>3418</v>
      </c>
      <c r="V37" s="41">
        <v>0.12</v>
      </c>
      <c r="W37" s="21">
        <v>3778</v>
      </c>
      <c r="X37" s="21">
        <v>4078</v>
      </c>
      <c r="Y37" s="21"/>
      <c r="Z37" s="38">
        <f t="shared" ref="Z37:Z41" si="5">V37*$Z$35</f>
        <v>3975.6</v>
      </c>
      <c r="AA37" s="21" t="s">
        <v>134</v>
      </c>
      <c r="AB37" s="21" t="s">
        <v>130</v>
      </c>
    </row>
    <row r="38" spans="1:29" s="1" customFormat="1" ht="171.75" customHeight="1" thickTop="1" thickBot="1" x14ac:dyDescent="0.4">
      <c r="A38" s="90"/>
      <c r="B38" s="90"/>
      <c r="C38" s="90"/>
      <c r="D38" s="96"/>
      <c r="E38" s="96"/>
      <c r="F38" s="96"/>
      <c r="G38" s="14">
        <v>1439</v>
      </c>
      <c r="H38" s="14" t="s">
        <v>95</v>
      </c>
      <c r="I38" s="31" t="s">
        <v>65</v>
      </c>
      <c r="J38" s="29" t="s">
        <v>72</v>
      </c>
      <c r="K38" s="21" t="s">
        <v>114</v>
      </c>
      <c r="L38" s="21" t="s">
        <v>115</v>
      </c>
      <c r="M38" s="21" t="s">
        <v>119</v>
      </c>
      <c r="N38" s="20">
        <v>1709</v>
      </c>
      <c r="O38" s="43" t="s">
        <v>124</v>
      </c>
      <c r="P38" s="42">
        <f>N38*50.05%</f>
        <v>855.35449999999992</v>
      </c>
      <c r="Q38" s="42">
        <f>N38*49.95%</f>
        <v>853.64550000000008</v>
      </c>
      <c r="R38" s="20"/>
      <c r="S38" s="21" t="s">
        <v>72</v>
      </c>
      <c r="T38" s="32">
        <f t="shared" si="0"/>
        <v>1439</v>
      </c>
      <c r="U38" s="34">
        <v>1709</v>
      </c>
      <c r="V38" s="41">
        <v>0.06</v>
      </c>
      <c r="W38" s="21">
        <v>1889</v>
      </c>
      <c r="X38" s="21">
        <v>2039</v>
      </c>
      <c r="Y38" s="21"/>
      <c r="Z38" s="38">
        <f t="shared" si="5"/>
        <v>1987.8</v>
      </c>
      <c r="AA38" s="21" t="s">
        <v>134</v>
      </c>
      <c r="AB38" s="21" t="s">
        <v>130</v>
      </c>
    </row>
    <row r="39" spans="1:29" s="1" customFormat="1" ht="124.5" customHeight="1" thickTop="1" thickBot="1" x14ac:dyDescent="0.4">
      <c r="A39" s="90"/>
      <c r="B39" s="90"/>
      <c r="C39" s="90"/>
      <c r="D39" s="96"/>
      <c r="E39" s="96"/>
      <c r="F39" s="96"/>
      <c r="G39" s="14">
        <v>1883</v>
      </c>
      <c r="H39" s="14" t="s">
        <v>96</v>
      </c>
      <c r="I39" s="31" t="s">
        <v>63</v>
      </c>
      <c r="J39" s="29" t="s">
        <v>72</v>
      </c>
      <c r="K39" s="21" t="s">
        <v>114</v>
      </c>
      <c r="L39" s="21" t="s">
        <v>115</v>
      </c>
      <c r="M39" s="21" t="s">
        <v>119</v>
      </c>
      <c r="N39" s="20">
        <v>2243</v>
      </c>
      <c r="O39" s="43" t="s">
        <v>124</v>
      </c>
      <c r="P39" s="42">
        <f>N39*53.2%</f>
        <v>1193.2760000000001</v>
      </c>
      <c r="Q39" s="42">
        <f>N39*46.8%</f>
        <v>1049.7239999999999</v>
      </c>
      <c r="R39" s="20"/>
      <c r="S39" s="21" t="s">
        <v>72</v>
      </c>
      <c r="T39" s="32">
        <f t="shared" si="0"/>
        <v>1883</v>
      </c>
      <c r="U39" s="34">
        <v>2243</v>
      </c>
      <c r="V39" s="41">
        <v>7.0000000000000007E-2</v>
      </c>
      <c r="W39" s="21">
        <v>2483</v>
      </c>
      <c r="X39" s="21">
        <v>2683</v>
      </c>
      <c r="Y39" s="21"/>
      <c r="Z39" s="38">
        <f t="shared" si="5"/>
        <v>2319.1000000000004</v>
      </c>
      <c r="AA39" s="21" t="s">
        <v>134</v>
      </c>
      <c r="AB39" s="21" t="s">
        <v>130</v>
      </c>
    </row>
    <row r="40" spans="1:29" s="1" customFormat="1" ht="120.75" customHeight="1" thickTop="1" thickBot="1" x14ac:dyDescent="0.4">
      <c r="A40" s="90"/>
      <c r="B40" s="90"/>
      <c r="C40" s="90"/>
      <c r="D40" s="96"/>
      <c r="E40" s="96"/>
      <c r="F40" s="96"/>
      <c r="G40" s="14">
        <v>1034</v>
      </c>
      <c r="H40" s="14" t="s">
        <v>97</v>
      </c>
      <c r="I40" s="31" t="s">
        <v>64</v>
      </c>
      <c r="J40" s="29" t="s">
        <v>72</v>
      </c>
      <c r="K40" s="21" t="s">
        <v>114</v>
      </c>
      <c r="L40" s="21" t="s">
        <v>115</v>
      </c>
      <c r="M40" s="21" t="s">
        <v>119</v>
      </c>
      <c r="N40" s="20">
        <v>1214</v>
      </c>
      <c r="O40" s="43" t="s">
        <v>124</v>
      </c>
      <c r="P40" s="42">
        <f>N40*53.32%</f>
        <v>647.3048</v>
      </c>
      <c r="Q40" s="42">
        <f>N40*46.7%</f>
        <v>566.93799999999999</v>
      </c>
      <c r="R40" s="20"/>
      <c r="S40" s="21" t="s">
        <v>72</v>
      </c>
      <c r="T40" s="32">
        <f t="shared" si="0"/>
        <v>1034</v>
      </c>
      <c r="U40" s="34">
        <v>1214</v>
      </c>
      <c r="V40" s="41">
        <v>0.05</v>
      </c>
      <c r="W40" s="21">
        <v>1334</v>
      </c>
      <c r="X40" s="21">
        <v>1434</v>
      </c>
      <c r="Y40" s="21"/>
      <c r="Z40" s="38">
        <f t="shared" si="5"/>
        <v>1656.5</v>
      </c>
      <c r="AA40" s="21" t="s">
        <v>134</v>
      </c>
      <c r="AB40" s="21" t="s">
        <v>130</v>
      </c>
    </row>
    <row r="41" spans="1:29" s="1" customFormat="1" ht="99.75" customHeight="1" thickTop="1" thickBot="1" x14ac:dyDescent="0.4">
      <c r="A41" s="90"/>
      <c r="B41" s="90"/>
      <c r="C41" s="90"/>
      <c r="D41" s="96"/>
      <c r="E41" s="96"/>
      <c r="F41" s="97"/>
      <c r="G41" s="14">
        <v>1812</v>
      </c>
      <c r="H41" s="14" t="s">
        <v>98</v>
      </c>
      <c r="I41" s="31" t="s">
        <v>66</v>
      </c>
      <c r="J41" s="29" t="s">
        <v>72</v>
      </c>
      <c r="K41" s="21" t="s">
        <v>114</v>
      </c>
      <c r="L41" s="21" t="s">
        <v>115</v>
      </c>
      <c r="M41" s="21" t="s">
        <v>119</v>
      </c>
      <c r="N41" s="20">
        <v>2127</v>
      </c>
      <c r="O41" s="43" t="s">
        <v>124</v>
      </c>
      <c r="P41" s="42">
        <f>N41*50.72%</f>
        <v>1078.8144</v>
      </c>
      <c r="Q41" s="42">
        <f>N41*49.28%</f>
        <v>1048.1856</v>
      </c>
      <c r="R41" s="20"/>
      <c r="S41" s="21" t="s">
        <v>72</v>
      </c>
      <c r="T41" s="32">
        <f t="shared" si="0"/>
        <v>1812</v>
      </c>
      <c r="U41" s="34">
        <v>2127</v>
      </c>
      <c r="V41" s="41">
        <v>7.0000000000000007E-2</v>
      </c>
      <c r="W41" s="21">
        <v>2337</v>
      </c>
      <c r="X41" s="21">
        <v>2512</v>
      </c>
      <c r="Y41" s="21"/>
      <c r="Z41" s="38">
        <f t="shared" si="5"/>
        <v>2319.1000000000004</v>
      </c>
      <c r="AA41" s="21" t="s">
        <v>134</v>
      </c>
      <c r="AB41" s="21" t="s">
        <v>130</v>
      </c>
    </row>
    <row r="42" spans="1:29" s="1" customFormat="1" ht="119.25" customHeight="1" thickTop="1" thickBot="1" x14ac:dyDescent="0.4">
      <c r="A42" s="90"/>
      <c r="B42" s="90"/>
      <c r="C42" s="90"/>
      <c r="D42" s="96"/>
      <c r="E42" s="96"/>
      <c r="F42" s="95" t="s">
        <v>71</v>
      </c>
      <c r="G42" s="14">
        <v>0</v>
      </c>
      <c r="H42" s="14" t="s">
        <v>75</v>
      </c>
      <c r="I42" s="31" t="s">
        <v>49</v>
      </c>
      <c r="J42" s="29" t="s">
        <v>72</v>
      </c>
      <c r="K42" s="21" t="s">
        <v>114</v>
      </c>
      <c r="L42" s="21" t="s">
        <v>115</v>
      </c>
      <c r="M42" s="21" t="s">
        <v>119</v>
      </c>
      <c r="N42" s="20">
        <v>4000</v>
      </c>
      <c r="O42" s="40" t="s">
        <v>124</v>
      </c>
      <c r="P42" s="20" t="s">
        <v>48</v>
      </c>
      <c r="Q42" s="20" t="s">
        <v>48</v>
      </c>
      <c r="R42" s="20"/>
      <c r="S42" s="21" t="s">
        <v>72</v>
      </c>
      <c r="T42" s="32">
        <f t="shared" si="0"/>
        <v>0</v>
      </c>
      <c r="U42" s="21">
        <v>4000</v>
      </c>
      <c r="V42" s="39"/>
      <c r="W42" s="21">
        <v>9440</v>
      </c>
      <c r="X42" s="21">
        <v>14881</v>
      </c>
      <c r="Y42" s="21"/>
      <c r="Z42" s="21">
        <v>12573</v>
      </c>
      <c r="AA42" s="21" t="s">
        <v>139</v>
      </c>
      <c r="AB42" s="21" t="s">
        <v>130</v>
      </c>
    </row>
    <row r="43" spans="1:29" s="1" customFormat="1" ht="137.25" customHeight="1" thickTop="1" thickBot="1" x14ac:dyDescent="0.4">
      <c r="A43" s="90"/>
      <c r="B43" s="90"/>
      <c r="C43" s="90"/>
      <c r="D43" s="96"/>
      <c r="E43" s="96"/>
      <c r="F43" s="96"/>
      <c r="G43" s="14">
        <v>0</v>
      </c>
      <c r="H43" s="14" t="s">
        <v>99</v>
      </c>
      <c r="I43" s="31" t="s">
        <v>61</v>
      </c>
      <c r="J43" s="29" t="s">
        <v>72</v>
      </c>
      <c r="K43" s="21" t="s">
        <v>114</v>
      </c>
      <c r="L43" s="21" t="s">
        <v>115</v>
      </c>
      <c r="M43" s="21" t="s">
        <v>119</v>
      </c>
      <c r="N43" s="20">
        <v>2000</v>
      </c>
      <c r="O43" s="40" t="s">
        <v>124</v>
      </c>
      <c r="P43" s="20" t="s">
        <v>48</v>
      </c>
      <c r="Q43" s="20" t="s">
        <v>48</v>
      </c>
      <c r="R43" s="20"/>
      <c r="S43" s="21" t="s">
        <v>72</v>
      </c>
      <c r="T43" s="32">
        <f t="shared" si="0"/>
        <v>0</v>
      </c>
      <c r="U43" s="34">
        <v>2000</v>
      </c>
      <c r="V43" s="41">
        <v>0.5</v>
      </c>
      <c r="W43" s="21">
        <v>4720</v>
      </c>
      <c r="X43" s="21">
        <v>7441</v>
      </c>
      <c r="Y43" s="21"/>
      <c r="Z43" s="38">
        <f>$Z$42*V43</f>
        <v>6286.5</v>
      </c>
      <c r="AA43" s="21" t="s">
        <v>139</v>
      </c>
      <c r="AB43" s="21" t="s">
        <v>130</v>
      </c>
    </row>
    <row r="44" spans="1:29" s="1" customFormat="1" ht="186.75" customHeight="1" thickTop="1" thickBot="1" x14ac:dyDescent="0.4">
      <c r="A44" s="90"/>
      <c r="B44" s="90"/>
      <c r="C44" s="90"/>
      <c r="D44" s="96"/>
      <c r="E44" s="96"/>
      <c r="F44" s="96"/>
      <c r="G44" s="14">
        <v>0</v>
      </c>
      <c r="H44" s="14" t="s">
        <v>100</v>
      </c>
      <c r="I44" s="31" t="s">
        <v>62</v>
      </c>
      <c r="J44" s="29" t="s">
        <v>72</v>
      </c>
      <c r="K44" s="21" t="s">
        <v>114</v>
      </c>
      <c r="L44" s="21" t="s">
        <v>115</v>
      </c>
      <c r="M44" s="21" t="s">
        <v>119</v>
      </c>
      <c r="N44" s="20">
        <v>400</v>
      </c>
      <c r="O44" s="40" t="s">
        <v>124</v>
      </c>
      <c r="P44" s="20" t="s">
        <v>48</v>
      </c>
      <c r="Q44" s="20" t="s">
        <v>48</v>
      </c>
      <c r="R44" s="20"/>
      <c r="S44" s="21" t="s">
        <v>72</v>
      </c>
      <c r="T44" s="32">
        <f t="shared" si="0"/>
        <v>0</v>
      </c>
      <c r="U44" s="34">
        <v>400</v>
      </c>
      <c r="V44" s="41">
        <v>0.1</v>
      </c>
      <c r="W44" s="21">
        <v>944</v>
      </c>
      <c r="X44" s="21">
        <v>1488</v>
      </c>
      <c r="Y44" s="21"/>
      <c r="Z44" s="38">
        <f t="shared" ref="Z44:Z48" si="6">$Z$42*V44</f>
        <v>1257.3000000000002</v>
      </c>
      <c r="AA44" s="21" t="s">
        <v>139</v>
      </c>
      <c r="AB44" s="21" t="s">
        <v>130</v>
      </c>
    </row>
    <row r="45" spans="1:29" s="1" customFormat="1" ht="114.75" customHeight="1" thickTop="1" thickBot="1" x14ac:dyDescent="0.4">
      <c r="A45" s="90"/>
      <c r="B45" s="90"/>
      <c r="C45" s="90"/>
      <c r="D45" s="96"/>
      <c r="E45" s="96"/>
      <c r="F45" s="96"/>
      <c r="G45" s="14">
        <v>0</v>
      </c>
      <c r="H45" s="14" t="s">
        <v>100</v>
      </c>
      <c r="I45" s="31" t="s">
        <v>65</v>
      </c>
      <c r="J45" s="29" t="s">
        <v>72</v>
      </c>
      <c r="K45" s="21" t="s">
        <v>114</v>
      </c>
      <c r="L45" s="21" t="s">
        <v>115</v>
      </c>
      <c r="M45" s="21" t="s">
        <v>119</v>
      </c>
      <c r="N45" s="20">
        <v>400</v>
      </c>
      <c r="O45" s="40" t="s">
        <v>124</v>
      </c>
      <c r="P45" s="20" t="s">
        <v>48</v>
      </c>
      <c r="Q45" s="20" t="s">
        <v>48</v>
      </c>
      <c r="R45" s="20"/>
      <c r="S45" s="21" t="s">
        <v>72</v>
      </c>
      <c r="T45" s="32">
        <f t="shared" si="0"/>
        <v>0</v>
      </c>
      <c r="U45" s="34">
        <v>400</v>
      </c>
      <c r="V45" s="41">
        <v>0.1</v>
      </c>
      <c r="W45" s="21">
        <v>944</v>
      </c>
      <c r="X45" s="21">
        <v>1488</v>
      </c>
      <c r="Y45" s="21"/>
      <c r="Z45" s="38">
        <f t="shared" si="6"/>
        <v>1257.3000000000002</v>
      </c>
      <c r="AA45" s="21" t="s">
        <v>139</v>
      </c>
      <c r="AB45" s="21" t="s">
        <v>130</v>
      </c>
    </row>
    <row r="46" spans="1:29" s="1" customFormat="1" ht="125.25" customHeight="1" thickTop="1" thickBot="1" x14ac:dyDescent="0.4">
      <c r="A46" s="90"/>
      <c r="B46" s="90"/>
      <c r="C46" s="90"/>
      <c r="D46" s="96"/>
      <c r="E46" s="96"/>
      <c r="F46" s="96"/>
      <c r="G46" s="14">
        <v>0</v>
      </c>
      <c r="H46" s="14" t="s">
        <v>100</v>
      </c>
      <c r="I46" s="31" t="s">
        <v>63</v>
      </c>
      <c r="J46" s="29" t="s">
        <v>72</v>
      </c>
      <c r="K46" s="21" t="s">
        <v>114</v>
      </c>
      <c r="L46" s="21" t="s">
        <v>115</v>
      </c>
      <c r="M46" s="21" t="s">
        <v>119</v>
      </c>
      <c r="N46" s="20">
        <v>400</v>
      </c>
      <c r="O46" s="40" t="s">
        <v>124</v>
      </c>
      <c r="P46" s="20"/>
      <c r="Q46" s="20"/>
      <c r="R46" s="20"/>
      <c r="S46" s="21" t="s">
        <v>72</v>
      </c>
      <c r="T46" s="32">
        <f t="shared" si="0"/>
        <v>0</v>
      </c>
      <c r="U46" s="34">
        <v>400</v>
      </c>
      <c r="V46" s="41">
        <v>0.1</v>
      </c>
      <c r="W46" s="21">
        <v>944</v>
      </c>
      <c r="X46" s="21">
        <v>1488</v>
      </c>
      <c r="Y46" s="21"/>
      <c r="Z46" s="38">
        <f t="shared" si="6"/>
        <v>1257.3000000000002</v>
      </c>
      <c r="AA46" s="21" t="s">
        <v>139</v>
      </c>
      <c r="AB46" s="21" t="s">
        <v>130</v>
      </c>
    </row>
    <row r="47" spans="1:29" s="1" customFormat="1" ht="137.25" customHeight="1" thickTop="1" thickBot="1" x14ac:dyDescent="0.4">
      <c r="A47" s="90"/>
      <c r="B47" s="90"/>
      <c r="C47" s="90"/>
      <c r="D47" s="96"/>
      <c r="E47" s="96"/>
      <c r="F47" s="96"/>
      <c r="G47" s="14">
        <v>0</v>
      </c>
      <c r="H47" s="14" t="s">
        <v>100</v>
      </c>
      <c r="I47" s="31" t="s">
        <v>64</v>
      </c>
      <c r="J47" s="29" t="s">
        <v>72</v>
      </c>
      <c r="K47" s="21" t="s">
        <v>114</v>
      </c>
      <c r="L47" s="21" t="s">
        <v>115</v>
      </c>
      <c r="M47" s="21" t="s">
        <v>119</v>
      </c>
      <c r="N47" s="20">
        <v>400</v>
      </c>
      <c r="O47" s="40" t="s">
        <v>124</v>
      </c>
      <c r="P47" s="20" t="s">
        <v>48</v>
      </c>
      <c r="Q47" s="20" t="s">
        <v>48</v>
      </c>
      <c r="R47" s="20"/>
      <c r="S47" s="21" t="s">
        <v>72</v>
      </c>
      <c r="T47" s="32">
        <f t="shared" si="0"/>
        <v>0</v>
      </c>
      <c r="U47" s="34">
        <v>400</v>
      </c>
      <c r="V47" s="41">
        <v>0.1</v>
      </c>
      <c r="W47" s="21">
        <v>944</v>
      </c>
      <c r="X47" s="21">
        <v>1488</v>
      </c>
      <c r="Y47" s="21"/>
      <c r="Z47" s="38">
        <f t="shared" si="6"/>
        <v>1257.3000000000002</v>
      </c>
      <c r="AA47" s="21" t="s">
        <v>139</v>
      </c>
      <c r="AB47" s="21" t="s">
        <v>130</v>
      </c>
    </row>
    <row r="48" spans="1:29" s="1" customFormat="1" ht="115.5" customHeight="1" thickTop="1" thickBot="1" x14ac:dyDescent="0.4">
      <c r="A48" s="91"/>
      <c r="B48" s="90"/>
      <c r="C48" s="90"/>
      <c r="D48" s="97"/>
      <c r="E48" s="97"/>
      <c r="F48" s="97"/>
      <c r="G48" s="14">
        <v>0</v>
      </c>
      <c r="H48" s="14" t="s">
        <v>100</v>
      </c>
      <c r="I48" s="31" t="s">
        <v>66</v>
      </c>
      <c r="J48" s="29" t="s">
        <v>72</v>
      </c>
      <c r="K48" s="21" t="s">
        <v>114</v>
      </c>
      <c r="L48" s="21" t="s">
        <v>115</v>
      </c>
      <c r="M48" s="21" t="s">
        <v>119</v>
      </c>
      <c r="N48" s="20">
        <v>400</v>
      </c>
      <c r="O48" s="40" t="s">
        <v>124</v>
      </c>
      <c r="P48" s="20" t="s">
        <v>48</v>
      </c>
      <c r="Q48" s="20" t="s">
        <v>48</v>
      </c>
      <c r="R48" s="20"/>
      <c r="S48" s="21" t="s">
        <v>72</v>
      </c>
      <c r="T48" s="32">
        <f t="shared" si="0"/>
        <v>0</v>
      </c>
      <c r="U48" s="34">
        <v>400</v>
      </c>
      <c r="V48" s="41">
        <v>0.1</v>
      </c>
      <c r="W48" s="21">
        <v>944</v>
      </c>
      <c r="X48" s="21">
        <v>1488</v>
      </c>
      <c r="Y48" s="21"/>
      <c r="Z48" s="38">
        <f t="shared" si="6"/>
        <v>1257.3000000000002</v>
      </c>
      <c r="AA48" s="21" t="s">
        <v>139</v>
      </c>
      <c r="AB48" s="21" t="s">
        <v>130</v>
      </c>
    </row>
    <row r="49" spans="1:29" ht="146.25" customHeight="1" thickTop="1" thickBot="1" x14ac:dyDescent="0.4">
      <c r="A49" s="89" t="s">
        <v>46</v>
      </c>
      <c r="B49" s="90"/>
      <c r="C49" s="90"/>
      <c r="D49" s="95" t="s">
        <v>50</v>
      </c>
      <c r="E49" s="95" t="s">
        <v>51</v>
      </c>
      <c r="F49" s="95" t="s">
        <v>52</v>
      </c>
      <c r="G49" s="14">
        <v>10137</v>
      </c>
      <c r="H49" s="14" t="s">
        <v>76</v>
      </c>
      <c r="I49" s="31" t="s">
        <v>49</v>
      </c>
      <c r="J49" s="29" t="s">
        <v>52</v>
      </c>
      <c r="K49" s="21" t="s">
        <v>114</v>
      </c>
      <c r="L49" s="21" t="s">
        <v>115</v>
      </c>
      <c r="M49" s="21" t="s">
        <v>120</v>
      </c>
      <c r="N49" s="20">
        <v>10500</v>
      </c>
      <c r="O49" s="33" t="s">
        <v>138</v>
      </c>
      <c r="P49" s="42">
        <f>SUM(P50:P55)</f>
        <v>4195.6746999999996</v>
      </c>
      <c r="Q49" s="42">
        <f>SUM(Q50:Q55)</f>
        <v>6304.3252999999995</v>
      </c>
      <c r="R49" s="20"/>
      <c r="S49" s="21" t="s">
        <v>52</v>
      </c>
      <c r="T49" s="32">
        <f t="shared" si="0"/>
        <v>10137</v>
      </c>
      <c r="U49" s="21">
        <v>10500</v>
      </c>
      <c r="V49" s="21"/>
      <c r="W49" s="21">
        <v>10500</v>
      </c>
      <c r="X49" s="21">
        <v>10500</v>
      </c>
      <c r="Y49" s="21"/>
      <c r="Z49" s="21">
        <v>3500</v>
      </c>
      <c r="AA49" s="21" t="s">
        <v>139</v>
      </c>
      <c r="AB49" s="21" t="s">
        <v>130</v>
      </c>
      <c r="AC49" s="1"/>
    </row>
    <row r="50" spans="1:29" s="1" customFormat="1" ht="118.5" customHeight="1" thickTop="1" thickBot="1" x14ac:dyDescent="0.4">
      <c r="A50" s="90"/>
      <c r="B50" s="90"/>
      <c r="C50" s="90"/>
      <c r="D50" s="96"/>
      <c r="E50" s="96"/>
      <c r="F50" s="96"/>
      <c r="G50" s="14" t="s">
        <v>48</v>
      </c>
      <c r="H50" s="14" t="s">
        <v>101</v>
      </c>
      <c r="I50" s="31" t="s">
        <v>61</v>
      </c>
      <c r="J50" s="29" t="s">
        <v>52</v>
      </c>
      <c r="K50" s="21" t="s">
        <v>114</v>
      </c>
      <c r="L50" s="21" t="s">
        <v>115</v>
      </c>
      <c r="M50" s="21" t="s">
        <v>120</v>
      </c>
      <c r="N50" s="20">
        <v>3603</v>
      </c>
      <c r="O50" s="33" t="s">
        <v>138</v>
      </c>
      <c r="P50" s="42">
        <f>N50*32.98%</f>
        <v>1188.2693999999999</v>
      </c>
      <c r="Q50" s="42">
        <f>N50*67.02%</f>
        <v>2414.7305999999999</v>
      </c>
      <c r="R50" s="20"/>
      <c r="S50" s="21" t="s">
        <v>52</v>
      </c>
      <c r="T50" s="32" t="str">
        <f t="shared" si="0"/>
        <v>ND</v>
      </c>
      <c r="U50" s="34">
        <v>3603</v>
      </c>
      <c r="V50" s="41">
        <v>0.34</v>
      </c>
      <c r="W50" s="21">
        <v>3603</v>
      </c>
      <c r="X50" s="21">
        <v>3603</v>
      </c>
      <c r="Y50" s="21"/>
      <c r="Z50" s="36">
        <f>$Z$49*V50</f>
        <v>1190</v>
      </c>
      <c r="AA50" s="21" t="s">
        <v>135</v>
      </c>
      <c r="AB50" s="21" t="s">
        <v>130</v>
      </c>
    </row>
    <row r="51" spans="1:29" s="1" customFormat="1" ht="117.75" customHeight="1" thickTop="1" thickBot="1" x14ac:dyDescent="0.4">
      <c r="A51" s="90"/>
      <c r="B51" s="90"/>
      <c r="C51" s="90"/>
      <c r="D51" s="96"/>
      <c r="E51" s="96"/>
      <c r="F51" s="96"/>
      <c r="G51" s="14" t="s">
        <v>48</v>
      </c>
      <c r="H51" s="14" t="s">
        <v>102</v>
      </c>
      <c r="I51" s="31" t="s">
        <v>62</v>
      </c>
      <c r="J51" s="29" t="s">
        <v>52</v>
      </c>
      <c r="K51" s="21" t="s">
        <v>114</v>
      </c>
      <c r="L51" s="21" t="s">
        <v>115</v>
      </c>
      <c r="M51" s="21" t="s">
        <v>120</v>
      </c>
      <c r="N51" s="20">
        <v>1292</v>
      </c>
      <c r="O51" s="33" t="s">
        <v>138</v>
      </c>
      <c r="P51" s="42">
        <f>N51*37.72%</f>
        <v>487.3424</v>
      </c>
      <c r="Q51" s="42">
        <f>N51*62.28%</f>
        <v>804.6576</v>
      </c>
      <c r="R51" s="20"/>
      <c r="S51" s="21" t="s">
        <v>52</v>
      </c>
      <c r="T51" s="32" t="str">
        <f t="shared" si="0"/>
        <v>ND</v>
      </c>
      <c r="U51" s="34">
        <v>1292</v>
      </c>
      <c r="V51" s="41">
        <v>0.12</v>
      </c>
      <c r="W51" s="21">
        <v>1292</v>
      </c>
      <c r="X51" s="21">
        <v>1292</v>
      </c>
      <c r="Y51" s="21"/>
      <c r="Z51" s="36">
        <f t="shared" ref="Z51:Z55" si="7">$Z$49*V51</f>
        <v>420</v>
      </c>
      <c r="AA51" s="21" t="s">
        <v>135</v>
      </c>
      <c r="AB51" s="21" t="s">
        <v>130</v>
      </c>
    </row>
    <row r="52" spans="1:29" s="1" customFormat="1" ht="127.5" customHeight="1" thickTop="1" thickBot="1" x14ac:dyDescent="0.4">
      <c r="A52" s="90"/>
      <c r="B52" s="90"/>
      <c r="C52" s="90"/>
      <c r="D52" s="96"/>
      <c r="E52" s="96"/>
      <c r="F52" s="96"/>
      <c r="G52" s="14" t="s">
        <v>48</v>
      </c>
      <c r="H52" s="14" t="s">
        <v>103</v>
      </c>
      <c r="I52" s="31" t="s">
        <v>65</v>
      </c>
      <c r="J52" s="29" t="s">
        <v>52</v>
      </c>
      <c r="K52" s="21" t="s">
        <v>114</v>
      </c>
      <c r="L52" s="21" t="s">
        <v>115</v>
      </c>
      <c r="M52" s="21" t="s">
        <v>120</v>
      </c>
      <c r="N52" s="20">
        <v>1560</v>
      </c>
      <c r="O52" s="33" t="s">
        <v>138</v>
      </c>
      <c r="P52" s="42">
        <f>N52*45.49%</f>
        <v>709.64400000000001</v>
      </c>
      <c r="Q52" s="42">
        <f>N52*54.51%</f>
        <v>850.35599999999999</v>
      </c>
      <c r="R52" s="20"/>
      <c r="S52" s="21" t="s">
        <v>52</v>
      </c>
      <c r="T52" s="32" t="str">
        <f t="shared" si="0"/>
        <v>ND</v>
      </c>
      <c r="U52" s="34">
        <v>1560</v>
      </c>
      <c r="V52" s="41">
        <v>0.15</v>
      </c>
      <c r="W52" s="21">
        <v>1560</v>
      </c>
      <c r="X52" s="21">
        <v>1560</v>
      </c>
      <c r="Y52" s="21"/>
      <c r="Z52" s="36">
        <f t="shared" si="7"/>
        <v>525</v>
      </c>
      <c r="AA52" s="21" t="s">
        <v>135</v>
      </c>
      <c r="AB52" s="21" t="s">
        <v>130</v>
      </c>
    </row>
    <row r="53" spans="1:29" s="1" customFormat="1" ht="127.5" customHeight="1" thickTop="1" thickBot="1" x14ac:dyDescent="0.4">
      <c r="A53" s="90"/>
      <c r="B53" s="90"/>
      <c r="C53" s="90"/>
      <c r="D53" s="96"/>
      <c r="E53" s="96"/>
      <c r="F53" s="96"/>
      <c r="G53" s="14" t="s">
        <v>48</v>
      </c>
      <c r="H53" s="14" t="s">
        <v>104</v>
      </c>
      <c r="I53" s="31" t="s">
        <v>63</v>
      </c>
      <c r="J53" s="29" t="s">
        <v>52</v>
      </c>
      <c r="K53" s="21" t="s">
        <v>114</v>
      </c>
      <c r="L53" s="21" t="s">
        <v>115</v>
      </c>
      <c r="M53" s="21" t="s">
        <v>120</v>
      </c>
      <c r="N53" s="20">
        <v>1178</v>
      </c>
      <c r="O53" s="33" t="s">
        <v>138</v>
      </c>
      <c r="P53" s="42">
        <f>N53*41.49%</f>
        <v>488.75220000000007</v>
      </c>
      <c r="Q53" s="42">
        <f>N53*58.51%</f>
        <v>689.24779999999998</v>
      </c>
      <c r="R53" s="20"/>
      <c r="S53" s="21" t="s">
        <v>52</v>
      </c>
      <c r="T53" s="32" t="str">
        <f t="shared" si="0"/>
        <v>ND</v>
      </c>
      <c r="U53" s="34">
        <v>1178</v>
      </c>
      <c r="V53" s="41">
        <v>0.11</v>
      </c>
      <c r="W53" s="21">
        <v>1178</v>
      </c>
      <c r="X53" s="21">
        <v>1178</v>
      </c>
      <c r="Y53" s="21"/>
      <c r="Z53" s="36">
        <f t="shared" si="7"/>
        <v>385</v>
      </c>
      <c r="AA53" s="21" t="s">
        <v>135</v>
      </c>
      <c r="AB53" s="21" t="s">
        <v>130</v>
      </c>
    </row>
    <row r="54" spans="1:29" s="1" customFormat="1" ht="116.25" customHeight="1" thickTop="1" thickBot="1" x14ac:dyDescent="0.4">
      <c r="A54" s="90"/>
      <c r="B54" s="90"/>
      <c r="C54" s="90"/>
      <c r="D54" s="96"/>
      <c r="E54" s="96"/>
      <c r="F54" s="96"/>
      <c r="G54" s="14" t="s">
        <v>48</v>
      </c>
      <c r="H54" s="14" t="s">
        <v>105</v>
      </c>
      <c r="I54" s="31" t="s">
        <v>64</v>
      </c>
      <c r="J54" s="29" t="s">
        <v>52</v>
      </c>
      <c r="K54" s="21" t="s">
        <v>114</v>
      </c>
      <c r="L54" s="21" t="s">
        <v>115</v>
      </c>
      <c r="M54" s="21" t="s">
        <v>120</v>
      </c>
      <c r="N54" s="20">
        <v>1116</v>
      </c>
      <c r="O54" s="33" t="s">
        <v>138</v>
      </c>
      <c r="P54" s="42">
        <f>N54*42.16%</f>
        <v>470.50559999999996</v>
      </c>
      <c r="Q54" s="42">
        <f>N54*57.84%</f>
        <v>645.49440000000004</v>
      </c>
      <c r="R54" s="20"/>
      <c r="S54" s="21" t="s">
        <v>52</v>
      </c>
      <c r="T54" s="32" t="str">
        <f t="shared" si="0"/>
        <v>ND</v>
      </c>
      <c r="U54" s="34">
        <v>1116</v>
      </c>
      <c r="V54" s="41">
        <v>0.11</v>
      </c>
      <c r="W54" s="21">
        <v>1116</v>
      </c>
      <c r="X54" s="21">
        <v>1116</v>
      </c>
      <c r="Y54" s="21"/>
      <c r="Z54" s="36">
        <f t="shared" si="7"/>
        <v>385</v>
      </c>
      <c r="AA54" s="21" t="s">
        <v>135</v>
      </c>
      <c r="AB54" s="21" t="s">
        <v>130</v>
      </c>
    </row>
    <row r="55" spans="1:29" s="1" customFormat="1" ht="118.5" customHeight="1" thickTop="1" thickBot="1" x14ac:dyDescent="0.4">
      <c r="A55" s="91"/>
      <c r="B55" s="90"/>
      <c r="C55" s="90"/>
      <c r="D55" s="97"/>
      <c r="E55" s="97"/>
      <c r="F55" s="97"/>
      <c r="G55" s="14" t="s">
        <v>48</v>
      </c>
      <c r="H55" s="14" t="s">
        <v>106</v>
      </c>
      <c r="I55" s="31" t="s">
        <v>66</v>
      </c>
      <c r="J55" s="29" t="s">
        <v>52</v>
      </c>
      <c r="K55" s="21" t="s">
        <v>114</v>
      </c>
      <c r="L55" s="21" t="s">
        <v>115</v>
      </c>
      <c r="M55" s="21" t="s">
        <v>120</v>
      </c>
      <c r="N55" s="20">
        <v>1751</v>
      </c>
      <c r="O55" s="33" t="s">
        <v>138</v>
      </c>
      <c r="P55" s="42">
        <f>N55*48.61%</f>
        <v>851.16109999999992</v>
      </c>
      <c r="Q55" s="42">
        <f>N55*51.39%</f>
        <v>899.83890000000008</v>
      </c>
      <c r="R55" s="20"/>
      <c r="S55" s="21" t="s">
        <v>52</v>
      </c>
      <c r="T55" s="32" t="str">
        <f t="shared" si="0"/>
        <v>ND</v>
      </c>
      <c r="U55" s="34">
        <v>1751</v>
      </c>
      <c r="V55" s="41">
        <v>0.17</v>
      </c>
      <c r="W55" s="21">
        <v>1751</v>
      </c>
      <c r="X55" s="21">
        <v>1751</v>
      </c>
      <c r="Y55" s="21"/>
      <c r="Z55" s="36">
        <f t="shared" si="7"/>
        <v>595</v>
      </c>
      <c r="AA55" s="21" t="s">
        <v>135</v>
      </c>
      <c r="AB55" s="21" t="s">
        <v>130</v>
      </c>
    </row>
    <row r="56" spans="1:29" ht="163.5" customHeight="1" thickTop="1" thickBot="1" x14ac:dyDescent="0.4">
      <c r="A56" s="13" t="s">
        <v>54</v>
      </c>
      <c r="B56" s="90"/>
      <c r="C56" s="90"/>
      <c r="D56" s="13" t="s">
        <v>53</v>
      </c>
      <c r="E56" s="13" t="s">
        <v>55</v>
      </c>
      <c r="F56" s="12" t="s">
        <v>56</v>
      </c>
      <c r="G56" s="31">
        <v>0</v>
      </c>
      <c r="H56" s="31" t="s">
        <v>77</v>
      </c>
      <c r="I56" s="31" t="s">
        <v>49</v>
      </c>
      <c r="J56" s="29" t="s">
        <v>55</v>
      </c>
      <c r="K56" s="21" t="s">
        <v>114</v>
      </c>
      <c r="L56" s="21" t="s">
        <v>115</v>
      </c>
      <c r="M56" s="21" t="s">
        <v>121</v>
      </c>
      <c r="N56" s="20">
        <v>4</v>
      </c>
      <c r="O56" s="20" t="s">
        <v>125</v>
      </c>
      <c r="P56" s="20"/>
      <c r="Q56" s="20"/>
      <c r="R56" s="20"/>
      <c r="S56" s="21" t="s">
        <v>56</v>
      </c>
      <c r="T56" s="32">
        <f t="shared" si="0"/>
        <v>0</v>
      </c>
      <c r="U56" s="21">
        <v>4</v>
      </c>
      <c r="V56" s="21"/>
      <c r="W56" s="21">
        <v>4</v>
      </c>
      <c r="X56" s="21">
        <v>4</v>
      </c>
      <c r="Y56" s="21"/>
      <c r="Z56" s="21">
        <v>60</v>
      </c>
      <c r="AA56" s="21" t="s">
        <v>136</v>
      </c>
      <c r="AB56" s="21" t="s">
        <v>130</v>
      </c>
      <c r="AC56" s="1"/>
    </row>
    <row r="57" spans="1:29" ht="142.5" customHeight="1" thickTop="1" thickBot="1" x14ac:dyDescent="0.4">
      <c r="A57" s="13" t="s">
        <v>58</v>
      </c>
      <c r="B57" s="91"/>
      <c r="C57" s="91"/>
      <c r="D57" s="13" t="s">
        <v>57</v>
      </c>
      <c r="E57" s="13" t="s">
        <v>59</v>
      </c>
      <c r="F57" s="12" t="s">
        <v>60</v>
      </c>
      <c r="G57" s="31" t="s">
        <v>48</v>
      </c>
      <c r="H57" s="31" t="s">
        <v>78</v>
      </c>
      <c r="I57" s="31" t="s">
        <v>49</v>
      </c>
      <c r="J57" s="29" t="s">
        <v>59</v>
      </c>
      <c r="K57" s="21" t="s">
        <v>114</v>
      </c>
      <c r="L57" s="21" t="s">
        <v>115</v>
      </c>
      <c r="M57" s="21" t="s">
        <v>121</v>
      </c>
      <c r="N57" s="20">
        <v>6</v>
      </c>
      <c r="O57" s="20" t="s">
        <v>125</v>
      </c>
      <c r="P57" s="20"/>
      <c r="Q57" s="20"/>
      <c r="R57" s="20"/>
      <c r="S57" s="21" t="s">
        <v>56</v>
      </c>
      <c r="T57" s="32" t="str">
        <f t="shared" si="0"/>
        <v>ND</v>
      </c>
      <c r="U57" s="21">
        <v>6</v>
      </c>
      <c r="V57" s="21"/>
      <c r="W57" s="21">
        <v>6</v>
      </c>
      <c r="X57" s="21">
        <v>6</v>
      </c>
      <c r="Y57" s="21"/>
      <c r="Z57" s="21">
        <v>480</v>
      </c>
      <c r="AA57" s="21" t="s">
        <v>136</v>
      </c>
      <c r="AB57" s="21" t="s">
        <v>130</v>
      </c>
      <c r="AC57" s="1"/>
    </row>
    <row r="58" spans="1:29" ht="15.5" thickTop="1" thickBot="1" x14ac:dyDescent="0.4">
      <c r="A58" s="7"/>
      <c r="B58" s="7"/>
      <c r="C58" s="7"/>
      <c r="D58" s="7"/>
      <c r="E58" s="7"/>
      <c r="F58" s="8"/>
      <c r="G58" s="13"/>
      <c r="H58" s="13"/>
      <c r="I58" s="13"/>
      <c r="J58" s="20"/>
      <c r="K58" s="21"/>
      <c r="L58" s="21"/>
      <c r="M58" s="21"/>
      <c r="N58" s="20"/>
      <c r="O58" s="20"/>
      <c r="P58" s="20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1"/>
    </row>
    <row r="59" spans="1:29" ht="15.5" thickTop="1" thickBot="1" x14ac:dyDescent="0.4">
      <c r="A59" s="6"/>
      <c r="B59" s="6"/>
      <c r="C59" s="6"/>
      <c r="D59" s="7"/>
      <c r="E59" s="7"/>
      <c r="F59" s="6"/>
      <c r="G59" s="7"/>
      <c r="H59" s="6"/>
      <c r="I59" s="6"/>
      <c r="J59" s="23"/>
      <c r="K59" s="23"/>
      <c r="L59" s="21"/>
      <c r="M59" s="21"/>
      <c r="N59" s="20"/>
      <c r="O59" s="23"/>
      <c r="P59" s="23"/>
      <c r="Q59" s="20"/>
      <c r="R59" s="20"/>
      <c r="S59" s="23"/>
      <c r="T59" s="21"/>
      <c r="U59" s="23"/>
      <c r="V59" s="21"/>
      <c r="W59" s="21"/>
      <c r="X59" s="23"/>
      <c r="Y59" s="23"/>
      <c r="Z59" s="23"/>
      <c r="AA59" s="21"/>
      <c r="AB59" s="21"/>
      <c r="AC59" s="1"/>
    </row>
    <row r="60" spans="1:29" ht="15" thickTop="1" x14ac:dyDescent="0.35">
      <c r="E60" s="1"/>
      <c r="G60" s="1"/>
      <c r="H60" s="1"/>
      <c r="L60" s="1"/>
      <c r="AB60" s="1"/>
      <c r="AC60" s="1"/>
    </row>
    <row r="61" spans="1:29" x14ac:dyDescent="0.35">
      <c r="E61" s="1"/>
      <c r="G61" s="1"/>
      <c r="H61" s="1"/>
      <c r="L61" s="1"/>
      <c r="AB61" s="1"/>
      <c r="AC61" s="1"/>
    </row>
    <row r="62" spans="1:29" x14ac:dyDescent="0.35">
      <c r="E62" s="1"/>
      <c r="G62" s="1"/>
      <c r="H62" s="1"/>
      <c r="L62" s="1"/>
      <c r="AB62" s="1"/>
      <c r="AC62" s="1"/>
    </row>
    <row r="63" spans="1:29" x14ac:dyDescent="0.35">
      <c r="E63" s="1"/>
      <c r="G63" s="1"/>
      <c r="H63" s="1"/>
      <c r="L63" s="1"/>
      <c r="AB63" s="1"/>
      <c r="AC63" s="1"/>
    </row>
    <row r="64" spans="1:29" x14ac:dyDescent="0.35">
      <c r="E64" s="1"/>
      <c r="G64" s="1"/>
      <c r="H64" s="1"/>
      <c r="L64" s="1"/>
      <c r="AB64" s="1"/>
      <c r="AC64" s="1"/>
    </row>
    <row r="65" spans="5:29" x14ac:dyDescent="0.35">
      <c r="E65" s="1"/>
      <c r="G65" s="1"/>
      <c r="H65" s="1"/>
      <c r="L65" s="1"/>
      <c r="AB65" s="1"/>
      <c r="AC65" s="1"/>
    </row>
    <row r="66" spans="5:29" x14ac:dyDescent="0.35">
      <c r="E66" s="1"/>
      <c r="G66" s="1"/>
      <c r="H66" s="1"/>
      <c r="L66" s="1"/>
      <c r="AB66" s="1"/>
      <c r="AC66" s="1"/>
    </row>
    <row r="67" spans="5:29" x14ac:dyDescent="0.35">
      <c r="E67" s="1"/>
      <c r="G67" s="1"/>
      <c r="H67" s="1"/>
      <c r="L67" s="1"/>
      <c r="AB67" s="1"/>
      <c r="AC67" s="1"/>
    </row>
    <row r="68" spans="5:29" x14ac:dyDescent="0.35">
      <c r="E68" s="1"/>
      <c r="G68" s="1"/>
      <c r="H68" s="1"/>
      <c r="L68" s="1"/>
      <c r="AB68" s="1"/>
      <c r="AC68" s="1"/>
    </row>
    <row r="69" spans="5:29" x14ac:dyDescent="0.35">
      <c r="E69" s="1"/>
      <c r="G69" s="1"/>
      <c r="H69" s="1"/>
      <c r="L69" s="1"/>
    </row>
    <row r="70" spans="5:29" x14ac:dyDescent="0.35">
      <c r="E70" s="1"/>
      <c r="G70" s="1"/>
      <c r="H70" s="1"/>
      <c r="L70" s="1"/>
    </row>
    <row r="71" spans="5:29" x14ac:dyDescent="0.35">
      <c r="E71" s="1"/>
      <c r="G71" s="1"/>
      <c r="H71" s="1"/>
      <c r="L71" s="1"/>
    </row>
    <row r="72" spans="5:29" x14ac:dyDescent="0.35">
      <c r="E72" s="1"/>
      <c r="G72" s="1"/>
      <c r="H72" s="1"/>
      <c r="L72" s="1"/>
    </row>
    <row r="73" spans="5:29" x14ac:dyDescent="0.35">
      <c r="E73" s="1"/>
      <c r="G73" s="1"/>
      <c r="H73" s="1"/>
      <c r="L73" s="1"/>
    </row>
    <row r="74" spans="5:29" x14ac:dyDescent="0.35">
      <c r="E74" s="1"/>
      <c r="G74" s="1"/>
      <c r="H74" s="1"/>
      <c r="L74" s="1"/>
    </row>
    <row r="75" spans="5:29" x14ac:dyDescent="0.35">
      <c r="E75" s="1"/>
      <c r="G75" s="1"/>
      <c r="H75" s="1"/>
      <c r="L75" s="1"/>
    </row>
  </sheetData>
  <mergeCells count="62">
    <mergeCell ref="J27:J34"/>
    <mergeCell ref="M9:M12"/>
    <mergeCell ref="N9:N12"/>
    <mergeCell ref="E35:E48"/>
    <mergeCell ref="D35:D48"/>
    <mergeCell ref="F13:F19"/>
    <mergeCell ref="F20:F26"/>
    <mergeCell ref="E13:E26"/>
    <mergeCell ref="D13:D26"/>
    <mergeCell ref="F27:F33"/>
    <mergeCell ref="E27:E34"/>
    <mergeCell ref="D27:D34"/>
    <mergeCell ref="G8:G12"/>
    <mergeCell ref="E49:E55"/>
    <mergeCell ref="D49:D55"/>
    <mergeCell ref="F49:F55"/>
    <mergeCell ref="F35:F41"/>
    <mergeCell ref="F42:F48"/>
    <mergeCell ref="A27:A34"/>
    <mergeCell ref="B13:B57"/>
    <mergeCell ref="C13:C57"/>
    <mergeCell ref="A13:A26"/>
    <mergeCell ref="A35:A48"/>
    <mergeCell ref="A49:A55"/>
    <mergeCell ref="A1:AB1"/>
    <mergeCell ref="D8:D12"/>
    <mergeCell ref="K8:K12"/>
    <mergeCell ref="H2:AC2"/>
    <mergeCell ref="H3:AC3"/>
    <mergeCell ref="H4:AC4"/>
    <mergeCell ref="H5:AC5"/>
    <mergeCell ref="H8:H12"/>
    <mergeCell ref="T8:T12"/>
    <mergeCell ref="L8:L12"/>
    <mergeCell ref="A2:F2"/>
    <mergeCell ref="I8:I12"/>
    <mergeCell ref="C8:C12"/>
    <mergeCell ref="B8:B12"/>
    <mergeCell ref="A6:R6"/>
    <mergeCell ref="J8:J12"/>
    <mergeCell ref="J7:AB7"/>
    <mergeCell ref="M8:N8"/>
    <mergeCell ref="O8:R8"/>
    <mergeCell ref="O9:O12"/>
    <mergeCell ref="P9:R9"/>
    <mergeCell ref="P10:P12"/>
    <mergeCell ref="AB8:AB12"/>
    <mergeCell ref="R10:R12"/>
    <mergeCell ref="Q10:Q12"/>
    <mergeCell ref="S8:S12"/>
    <mergeCell ref="AA10:AA12"/>
    <mergeCell ref="U8:Y10"/>
    <mergeCell ref="Z8:AA9"/>
    <mergeCell ref="Z10:Z12"/>
    <mergeCell ref="W11:Y11"/>
    <mergeCell ref="A3:F3"/>
    <mergeCell ref="A4:F4"/>
    <mergeCell ref="A5:F5"/>
    <mergeCell ref="A8:A12"/>
    <mergeCell ref="F8:F12"/>
    <mergeCell ref="E8:E12"/>
    <mergeCell ref="A7:I7"/>
  </mergeCells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FINAL</vt:lpstr>
      <vt:lpstr>'MATRIZ FINAL'!Área_de_impresión</vt:lpstr>
      <vt:lpstr>'MATRIZ FINAL'!Títulos_a_imprimir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moreramar</dc:creator>
  <cp:lastModifiedBy>Maribel Vallejos Vásquez</cp:lastModifiedBy>
  <cp:revision/>
  <dcterms:created xsi:type="dcterms:W3CDTF">2015-03-06T17:33:50Z</dcterms:created>
  <dcterms:modified xsi:type="dcterms:W3CDTF">2021-03-25T12:53:58Z</dcterms:modified>
</cp:coreProperties>
</file>